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T:\Onkormanyzati-iroda\Új struktúra\Testületi gép 2021.02.08\Testület\2022. évi előterjesztések\2022.06.30. rendes\Ülés után\rendeletek\19-2022\"/>
    </mc:Choice>
  </mc:AlternateContent>
  <xr:revisionPtr revIDLastSave="0" documentId="13_ncr:1_{1D013745-9869-46F1-A661-C71907009B6A}" xr6:coauthVersionLast="47" xr6:coauthVersionMax="47" xr10:uidLastSave="{00000000-0000-0000-0000-000000000000}"/>
  <bookViews>
    <workbookView xWindow="-108" yWindow="-108" windowWidth="23256" windowHeight="12576" tabRatio="889" activeTab="5" xr2:uid="{00000000-000D-0000-FFFF-FFFF00000000}"/>
  </bookViews>
  <sheets>
    <sheet name="1. melléklet" sheetId="279" r:id="rId1"/>
    <sheet name="2. melléklet" sheetId="280" r:id="rId2"/>
    <sheet name="2. m. KÖH részletező" sheetId="281" r:id="rId3"/>
    <sheet name="3. m. létszám" sheetId="269" r:id="rId4"/>
    <sheet name="4. melléklet" sheetId="282" r:id="rId5"/>
    <sheet name="5.melléklet-hitelek" sheetId="272" r:id="rId6"/>
    <sheet name="5. melléklet-kezességv." sheetId="219" r:id="rId7"/>
    <sheet name="5.melléklet-szerződések-KÖH" sheetId="277" r:id="rId8"/>
    <sheet name="5. melléklet-szerződések-ÖNK" sheetId="274" r:id="rId9"/>
    <sheet name="6. melléklet" sheetId="275" r:id="rId10"/>
    <sheet name="7. melléklet" sheetId="264" r:id="rId11"/>
    <sheet name="8. melléklet" sheetId="259" r:id="rId12"/>
    <sheet name="8. m. int. finanszírozás" sheetId="283" r:id="rId13"/>
    <sheet name="9. melléklet" sheetId="263" r:id="rId14"/>
    <sheet name="10. melléklet" sheetId="284" r:id="rId15"/>
  </sheets>
  <externalReferences>
    <externalReference r:id="rId16"/>
  </externalReferences>
  <definedNames>
    <definedName name="_xlnm.Print_Titles" localSheetId="2">'2. m. KÖH részletező'!$6:$6</definedName>
    <definedName name="_xlnm.Print_Titles" localSheetId="8">'5. melléklet-szerződések-ÖNK'!$1:$8</definedName>
    <definedName name="_xlnm.Print_Area" localSheetId="0">'1. melléklet'!$A$1:$O$227</definedName>
    <definedName name="_xlnm.Print_Area" localSheetId="14">'10. melléklet'!$A$1:$H$242</definedName>
    <definedName name="_xlnm.Print_Area" localSheetId="2">'2. m. KÖH részletező'!$A$1:$S$12</definedName>
    <definedName name="_xlnm.Print_Area" localSheetId="1">'2. melléklet'!$A$1:$O$317</definedName>
    <definedName name="_xlnm.Print_Area" localSheetId="4">'4. melléklet'!$A$1:$K$32</definedName>
    <definedName name="_xlnm.Print_Area" localSheetId="6">'5. melléklet-kezességv.'!$A$1:$K$13</definedName>
    <definedName name="_xlnm.Print_Area" localSheetId="8">'5. melléklet-szerződések-ÖNK'!$A$1:$E$152</definedName>
    <definedName name="_xlnm.Print_Area" localSheetId="7">'5.melléklet-szerződések-KÖH'!$A$1:$E$66</definedName>
    <definedName name="_xlnm.Print_Area" localSheetId="9">'6. melléklet'!$A$1:$D$47</definedName>
    <definedName name="_xlnm.Print_Area" localSheetId="11">'8. melléklet'!$A$1:$O$40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39" i="284" l="1"/>
  <c r="F239" i="284"/>
  <c r="E239" i="284"/>
  <c r="D239" i="284"/>
  <c r="H238" i="284"/>
  <c r="H237" i="284"/>
  <c r="H239" i="284" s="1"/>
  <c r="G233" i="284"/>
  <c r="F233" i="284"/>
  <c r="E233" i="284"/>
  <c r="D233" i="284"/>
  <c r="H232" i="284"/>
  <c r="H231" i="284"/>
  <c r="H233" i="284" s="1"/>
  <c r="H227" i="284"/>
  <c r="G227" i="284"/>
  <c r="F227" i="284"/>
  <c r="E227" i="284"/>
  <c r="D227" i="284"/>
  <c r="H226" i="284"/>
  <c r="H225" i="284"/>
  <c r="F221" i="284"/>
  <c r="E221" i="284"/>
  <c r="D221" i="284"/>
  <c r="H220" i="284"/>
  <c r="H219" i="284"/>
  <c r="H221" i="284" s="1"/>
  <c r="F215" i="284"/>
  <c r="E215" i="284"/>
  <c r="D215" i="284"/>
  <c r="H214" i="284"/>
  <c r="H215" i="284" s="1"/>
  <c r="F209" i="284"/>
  <c r="E209" i="284"/>
  <c r="D209" i="284"/>
  <c r="H208" i="284"/>
  <c r="H207" i="284"/>
  <c r="H206" i="284"/>
  <c r="H205" i="284"/>
  <c r="H204" i="284"/>
  <c r="H209" i="284" s="1"/>
  <c r="F200" i="284"/>
  <c r="E200" i="284"/>
  <c r="D200" i="284"/>
  <c r="H199" i="284"/>
  <c r="H198" i="284"/>
  <c r="H197" i="284"/>
  <c r="H200" i="284" s="1"/>
  <c r="F193" i="284"/>
  <c r="E193" i="284"/>
  <c r="D193" i="284"/>
  <c r="H192" i="284"/>
  <c r="H191" i="284"/>
  <c r="H190" i="284"/>
  <c r="H189" i="284"/>
  <c r="H193" i="284" s="1"/>
  <c r="E185" i="284"/>
  <c r="D185" i="284"/>
  <c r="H184" i="284"/>
  <c r="F183" i="284"/>
  <c r="F185" i="284" s="1"/>
  <c r="E183" i="284"/>
  <c r="H183" i="284" s="1"/>
  <c r="H182" i="284"/>
  <c r="F178" i="284"/>
  <c r="E178" i="284"/>
  <c r="D178" i="284"/>
  <c r="H177" i="284"/>
  <c r="H176" i="284"/>
  <c r="H175" i="284"/>
  <c r="H178" i="284" s="1"/>
  <c r="F171" i="284"/>
  <c r="E171" i="284"/>
  <c r="H170" i="284"/>
  <c r="H169" i="284"/>
  <c r="H168" i="284"/>
  <c r="H167" i="284"/>
  <c r="H166" i="284"/>
  <c r="H171" i="284" s="1"/>
  <c r="F162" i="284"/>
  <c r="E162" i="284"/>
  <c r="D162" i="284"/>
  <c r="H161" i="284"/>
  <c r="H160" i="284"/>
  <c r="H159" i="284"/>
  <c r="H158" i="284"/>
  <c r="H157" i="284"/>
  <c r="H162" i="284" s="1"/>
  <c r="F153" i="284"/>
  <c r="E153" i="284"/>
  <c r="D153" i="284"/>
  <c r="H152" i="284"/>
  <c r="H151" i="284"/>
  <c r="H150" i="284"/>
  <c r="H153" i="284" s="1"/>
  <c r="G146" i="284"/>
  <c r="F146" i="284"/>
  <c r="E146" i="284"/>
  <c r="D146" i="284"/>
  <c r="H145" i="284"/>
  <c r="H144" i="284"/>
  <c r="H143" i="284"/>
  <c r="H142" i="284"/>
  <c r="H146" i="284" s="1"/>
  <c r="G138" i="284"/>
  <c r="F138" i="284"/>
  <c r="E138" i="284"/>
  <c r="D138" i="284"/>
  <c r="H137" i="284"/>
  <c r="H136" i="284"/>
  <c r="H135" i="284"/>
  <c r="H134" i="284"/>
  <c r="H133" i="284"/>
  <c r="H138" i="284" s="1"/>
  <c r="F129" i="284"/>
  <c r="E129" i="284"/>
  <c r="D129" i="284"/>
  <c r="H128" i="284"/>
  <c r="H127" i="284"/>
  <c r="H126" i="284"/>
  <c r="H125" i="284"/>
  <c r="H124" i="284"/>
  <c r="H123" i="284"/>
  <c r="H129" i="284" s="1"/>
  <c r="G119" i="284"/>
  <c r="G242" i="284" s="1"/>
  <c r="D119" i="284"/>
  <c r="D242" i="284" s="1"/>
  <c r="H118" i="284"/>
  <c r="H119" i="284" s="1"/>
  <c r="F118" i="284"/>
  <c r="F119" i="284" s="1"/>
  <c r="F242" i="284" s="1"/>
  <c r="E118" i="284"/>
  <c r="E119" i="284" s="1"/>
  <c r="E242" i="284" s="1"/>
  <c r="F107" i="284"/>
  <c r="E107" i="284"/>
  <c r="D107" i="284"/>
  <c r="H106" i="284"/>
  <c r="H107" i="284" s="1"/>
  <c r="F102" i="284"/>
  <c r="E102" i="284"/>
  <c r="D102" i="284"/>
  <c r="H101" i="284"/>
  <c r="H102" i="284" s="1"/>
  <c r="F97" i="284"/>
  <c r="E97" i="284"/>
  <c r="D97" i="284"/>
  <c r="H96" i="284"/>
  <c r="H97" i="284" s="1"/>
  <c r="F92" i="284"/>
  <c r="E92" i="284"/>
  <c r="D92" i="284"/>
  <c r="H91" i="284"/>
  <c r="H92" i="284" s="1"/>
  <c r="F87" i="284"/>
  <c r="E87" i="284"/>
  <c r="D87" i="284"/>
  <c r="H86" i="284"/>
  <c r="H87" i="284" s="1"/>
  <c r="F82" i="284"/>
  <c r="E82" i="284"/>
  <c r="D82" i="284"/>
  <c r="H81" i="284"/>
  <c r="H80" i="284"/>
  <c r="H82" i="284" s="1"/>
  <c r="F76" i="284"/>
  <c r="E76" i="284"/>
  <c r="D76" i="284"/>
  <c r="H75" i="284"/>
  <c r="H74" i="284"/>
  <c r="H76" i="284" s="1"/>
  <c r="F70" i="284"/>
  <c r="E70" i="284"/>
  <c r="D70" i="284"/>
  <c r="H69" i="284"/>
  <c r="H68" i="284"/>
  <c r="H70" i="284" s="1"/>
  <c r="F62" i="284"/>
  <c r="E62" i="284"/>
  <c r="D62" i="284"/>
  <c r="H61" i="284"/>
  <c r="H60" i="284"/>
  <c r="H62" i="284" s="1"/>
  <c r="H59" i="284"/>
  <c r="F54" i="284"/>
  <c r="E54" i="284"/>
  <c r="D54" i="284"/>
  <c r="H53" i="284"/>
  <c r="H52" i="284"/>
  <c r="H54" i="284" s="1"/>
  <c r="F47" i="284"/>
  <c r="E47" i="284"/>
  <c r="D47" i="284"/>
  <c r="H46" i="284"/>
  <c r="H47" i="284" s="1"/>
  <c r="F42" i="284"/>
  <c r="E42" i="284"/>
  <c r="D42" i="284"/>
  <c r="H42" i="284" s="1"/>
  <c r="H41" i="284"/>
  <c r="H40" i="284"/>
  <c r="F36" i="284"/>
  <c r="E36" i="284"/>
  <c r="D36" i="284"/>
  <c r="H35" i="284"/>
  <c r="H36" i="284" s="1"/>
  <c r="H31" i="284"/>
  <c r="G31" i="284"/>
  <c r="F31" i="284"/>
  <c r="E31" i="284"/>
  <c r="D31" i="284"/>
  <c r="H30" i="284"/>
  <c r="H29" i="284"/>
  <c r="G25" i="284"/>
  <c r="G109" i="284" s="1"/>
  <c r="F25" i="284"/>
  <c r="E25" i="284"/>
  <c r="D25" i="284"/>
  <c r="H24" i="284"/>
  <c r="H25" i="284" s="1"/>
  <c r="H23" i="284"/>
  <c r="F19" i="284"/>
  <c r="E19" i="284"/>
  <c r="D19" i="284"/>
  <c r="H18" i="284"/>
  <c r="H19" i="284" s="1"/>
  <c r="F14" i="284"/>
  <c r="F109" i="284" s="1"/>
  <c r="E14" i="284"/>
  <c r="E109" i="284" s="1"/>
  <c r="D14" i="284"/>
  <c r="D109" i="284" s="1"/>
  <c r="H13" i="284"/>
  <c r="H12" i="284"/>
  <c r="H14" i="284" s="1"/>
  <c r="H109" i="284" s="1"/>
  <c r="Q12" i="283"/>
  <c r="P12" i="283"/>
  <c r="O12" i="283"/>
  <c r="N12" i="283"/>
  <c r="M12" i="283"/>
  <c r="L12" i="283"/>
  <c r="S11" i="283"/>
  <c r="R11" i="283"/>
  <c r="I11" i="283"/>
  <c r="G11" i="283"/>
  <c r="F11" i="283"/>
  <c r="E11" i="283"/>
  <c r="K11" i="283" s="1"/>
  <c r="S10" i="283"/>
  <c r="R10" i="283"/>
  <c r="J10" i="283"/>
  <c r="I10" i="283"/>
  <c r="G10" i="283"/>
  <c r="F10" i="283"/>
  <c r="E10" i="283"/>
  <c r="K10" i="283" s="1"/>
  <c r="S9" i="283"/>
  <c r="R9" i="283"/>
  <c r="P9" i="283"/>
  <c r="I9" i="283"/>
  <c r="G9" i="283"/>
  <c r="F9" i="283"/>
  <c r="E9" i="283"/>
  <c r="K9" i="283" s="1"/>
  <c r="S8" i="283"/>
  <c r="R8" i="283"/>
  <c r="J8" i="283"/>
  <c r="I8" i="283"/>
  <c r="G8" i="283"/>
  <c r="F8" i="283"/>
  <c r="E8" i="283"/>
  <c r="K8" i="283" s="1"/>
  <c r="S7" i="283"/>
  <c r="S12" i="283" s="1"/>
  <c r="R7" i="283"/>
  <c r="R12" i="283" s="1"/>
  <c r="J7" i="283"/>
  <c r="J12" i="283" s="1"/>
  <c r="I7" i="283"/>
  <c r="I12" i="283" s="1"/>
  <c r="H7" i="283"/>
  <c r="H12" i="283" s="1"/>
  <c r="G7" i="283"/>
  <c r="G12" i="283" s="1"/>
  <c r="F7" i="283"/>
  <c r="F12" i="283" s="1"/>
  <c r="E7" i="283"/>
  <c r="K7" i="283" s="1"/>
  <c r="I29" i="282"/>
  <c r="I32" i="282" s="1"/>
  <c r="H29" i="282"/>
  <c r="E29" i="282"/>
  <c r="C29" i="282"/>
  <c r="B29" i="282"/>
  <c r="B32" i="282" s="1"/>
  <c r="E26" i="282"/>
  <c r="K25" i="282"/>
  <c r="E25" i="282"/>
  <c r="K24" i="282"/>
  <c r="E24" i="282"/>
  <c r="K23" i="282"/>
  <c r="E23" i="282"/>
  <c r="K22" i="282"/>
  <c r="E22" i="282"/>
  <c r="K21" i="282"/>
  <c r="K29" i="282" s="1"/>
  <c r="E21" i="282"/>
  <c r="I19" i="282"/>
  <c r="H19" i="282"/>
  <c r="H32" i="282" s="1"/>
  <c r="C19" i="282"/>
  <c r="C32" i="282" s="1"/>
  <c r="B19" i="282"/>
  <c r="K17" i="282"/>
  <c r="E17" i="282"/>
  <c r="K16" i="282"/>
  <c r="E16" i="282"/>
  <c r="K15" i="282"/>
  <c r="E15" i="282"/>
  <c r="K14" i="282"/>
  <c r="E14" i="282"/>
  <c r="K13" i="282"/>
  <c r="E13" i="282"/>
  <c r="K12" i="282"/>
  <c r="E12" i="282"/>
  <c r="K11" i="282"/>
  <c r="E11" i="282"/>
  <c r="K10" i="282"/>
  <c r="K19" i="282" s="1"/>
  <c r="K32" i="282" s="1"/>
  <c r="E10" i="282"/>
  <c r="K9" i="282"/>
  <c r="E9" i="282"/>
  <c r="E19" i="282" s="1"/>
  <c r="E32" i="282" s="1"/>
  <c r="Q12" i="281"/>
  <c r="P12" i="281"/>
  <c r="O12" i="281"/>
  <c r="N12" i="281"/>
  <c r="M12" i="281"/>
  <c r="L12" i="281"/>
  <c r="K12" i="281"/>
  <c r="J12" i="281"/>
  <c r="I12" i="281"/>
  <c r="H12" i="281"/>
  <c r="G12" i="281"/>
  <c r="F12" i="281"/>
  <c r="E12" i="281"/>
  <c r="D12" i="281"/>
  <c r="C12" i="281"/>
  <c r="B12" i="281"/>
  <c r="S11" i="281"/>
  <c r="R11" i="281"/>
  <c r="S10" i="281"/>
  <c r="R10" i="281"/>
  <c r="S9" i="281"/>
  <c r="R9" i="281"/>
  <c r="S8" i="281"/>
  <c r="S12" i="281" s="1"/>
  <c r="R8" i="281"/>
  <c r="R12" i="281" s="1"/>
  <c r="O314" i="280"/>
  <c r="N314" i="280"/>
  <c r="M314" i="280"/>
  <c r="L314" i="280"/>
  <c r="K312" i="280"/>
  <c r="J312" i="280"/>
  <c r="I312" i="280"/>
  <c r="H312" i="280"/>
  <c r="G312" i="280"/>
  <c r="O312" i="280" s="1"/>
  <c r="F312" i="280"/>
  <c r="N312" i="280" s="1"/>
  <c r="E312" i="280"/>
  <c r="M312" i="280" s="1"/>
  <c r="D312" i="280"/>
  <c r="L312" i="280" s="1"/>
  <c r="O311" i="280"/>
  <c r="N311" i="280"/>
  <c r="M311" i="280"/>
  <c r="L311" i="280"/>
  <c r="O310" i="280"/>
  <c r="N310" i="280"/>
  <c r="M310" i="280"/>
  <c r="L310" i="280"/>
  <c r="O309" i="280"/>
  <c r="N309" i="280"/>
  <c r="M309" i="280"/>
  <c r="L309" i="280"/>
  <c r="K301" i="280"/>
  <c r="J301" i="280"/>
  <c r="I301" i="280"/>
  <c r="H301" i="280"/>
  <c r="G301" i="280"/>
  <c r="O301" i="280" s="1"/>
  <c r="F301" i="280"/>
  <c r="N301" i="280" s="1"/>
  <c r="E301" i="280"/>
  <c r="M301" i="280" s="1"/>
  <c r="D301" i="280"/>
  <c r="L301" i="280" s="1"/>
  <c r="O299" i="280"/>
  <c r="N299" i="280"/>
  <c r="M299" i="280"/>
  <c r="L299" i="280"/>
  <c r="O298" i="280"/>
  <c r="N298" i="280"/>
  <c r="M298" i="280"/>
  <c r="L298" i="280"/>
  <c r="O297" i="280"/>
  <c r="N297" i="280"/>
  <c r="M297" i="280"/>
  <c r="L297" i="280"/>
  <c r="O296" i="280"/>
  <c r="N296" i="280"/>
  <c r="M296" i="280"/>
  <c r="L296" i="280"/>
  <c r="O295" i="280"/>
  <c r="N295" i="280"/>
  <c r="M295" i="280"/>
  <c r="L295" i="280"/>
  <c r="O294" i="280"/>
  <c r="N294" i="280"/>
  <c r="M294" i="280"/>
  <c r="L294" i="280"/>
  <c r="O293" i="280"/>
  <c r="N293" i="280"/>
  <c r="M293" i="280"/>
  <c r="L293" i="280"/>
  <c r="K290" i="280"/>
  <c r="J290" i="280"/>
  <c r="I290" i="280"/>
  <c r="H290" i="280"/>
  <c r="G290" i="280"/>
  <c r="O290" i="280" s="1"/>
  <c r="F290" i="280"/>
  <c r="N290" i="280" s="1"/>
  <c r="E290" i="280"/>
  <c r="M290" i="280" s="1"/>
  <c r="D290" i="280"/>
  <c r="L290" i="280" s="1"/>
  <c r="O288" i="280"/>
  <c r="N288" i="280"/>
  <c r="M288" i="280"/>
  <c r="L288" i="280"/>
  <c r="O287" i="280"/>
  <c r="N287" i="280"/>
  <c r="M287" i="280"/>
  <c r="L287" i="280"/>
  <c r="O286" i="280"/>
  <c r="N286" i="280"/>
  <c r="M286" i="280"/>
  <c r="L286" i="280"/>
  <c r="O285" i="280"/>
  <c r="N285" i="280"/>
  <c r="M285" i="280"/>
  <c r="L285" i="280"/>
  <c r="K282" i="280"/>
  <c r="K303" i="280" s="1"/>
  <c r="J282" i="280"/>
  <c r="J303" i="280" s="1"/>
  <c r="I282" i="280"/>
  <c r="I303" i="280" s="1"/>
  <c r="H282" i="280"/>
  <c r="H303" i="280" s="1"/>
  <c r="G282" i="280"/>
  <c r="G303" i="280" s="1"/>
  <c r="O303" i="280" s="1"/>
  <c r="F282" i="280"/>
  <c r="F303" i="280" s="1"/>
  <c r="N303" i="280" s="1"/>
  <c r="E282" i="280"/>
  <c r="E303" i="280" s="1"/>
  <c r="M303" i="280" s="1"/>
  <c r="D282" i="280"/>
  <c r="D303" i="280" s="1"/>
  <c r="L303" i="280" s="1"/>
  <c r="O280" i="280"/>
  <c r="N280" i="280"/>
  <c r="M280" i="280"/>
  <c r="L280" i="280"/>
  <c r="O279" i="280"/>
  <c r="N279" i="280"/>
  <c r="M279" i="280"/>
  <c r="L279" i="280"/>
  <c r="K275" i="280"/>
  <c r="J275" i="280"/>
  <c r="I275" i="280"/>
  <c r="H275" i="280"/>
  <c r="G275" i="280"/>
  <c r="O275" i="280" s="1"/>
  <c r="F275" i="280"/>
  <c r="N275" i="280" s="1"/>
  <c r="E275" i="280"/>
  <c r="M275" i="280" s="1"/>
  <c r="D275" i="280"/>
  <c r="L275" i="280" s="1"/>
  <c r="O273" i="280"/>
  <c r="N273" i="280"/>
  <c r="M273" i="280"/>
  <c r="L273" i="280"/>
  <c r="O272" i="280"/>
  <c r="N272" i="280"/>
  <c r="M272" i="280"/>
  <c r="L272" i="280"/>
  <c r="O271" i="280"/>
  <c r="N271" i="280"/>
  <c r="M271" i="280"/>
  <c r="L271" i="280"/>
  <c r="O270" i="280"/>
  <c r="N270" i="280"/>
  <c r="M270" i="280"/>
  <c r="L270" i="280"/>
  <c r="O269" i="280"/>
  <c r="N269" i="280"/>
  <c r="M269" i="280"/>
  <c r="L269" i="280"/>
  <c r="O268" i="280"/>
  <c r="N268" i="280"/>
  <c r="M268" i="280"/>
  <c r="L268" i="280"/>
  <c r="O267" i="280"/>
  <c r="N267" i="280"/>
  <c r="M267" i="280"/>
  <c r="L267" i="280"/>
  <c r="O266" i="280"/>
  <c r="N266" i="280"/>
  <c r="M266" i="280"/>
  <c r="L266" i="280"/>
  <c r="O265" i="280"/>
  <c r="N265" i="280"/>
  <c r="M265" i="280"/>
  <c r="L265" i="280"/>
  <c r="O264" i="280"/>
  <c r="N264" i="280"/>
  <c r="M264" i="280"/>
  <c r="L264" i="280"/>
  <c r="O263" i="280"/>
  <c r="N263" i="280"/>
  <c r="M263" i="280"/>
  <c r="L263" i="280"/>
  <c r="O262" i="280"/>
  <c r="N262" i="280"/>
  <c r="M262" i="280"/>
  <c r="L262" i="280"/>
  <c r="O261" i="280"/>
  <c r="N261" i="280"/>
  <c r="M261" i="280"/>
  <c r="L261" i="280"/>
  <c r="O260" i="280"/>
  <c r="N260" i="280"/>
  <c r="M260" i="280"/>
  <c r="L260" i="280"/>
  <c r="O259" i="280"/>
  <c r="N259" i="280"/>
  <c r="M259" i="280"/>
  <c r="L259" i="280"/>
  <c r="O258" i="280"/>
  <c r="N258" i="280"/>
  <c r="M258" i="280"/>
  <c r="L258" i="280"/>
  <c r="O257" i="280"/>
  <c r="N257" i="280"/>
  <c r="M257" i="280"/>
  <c r="L257" i="280"/>
  <c r="O256" i="280"/>
  <c r="N256" i="280"/>
  <c r="M256" i="280"/>
  <c r="L256" i="280"/>
  <c r="K253" i="280"/>
  <c r="J253" i="280"/>
  <c r="I253" i="280"/>
  <c r="H253" i="280"/>
  <c r="G253" i="280"/>
  <c r="O253" i="280" s="1"/>
  <c r="F253" i="280"/>
  <c r="N253" i="280" s="1"/>
  <c r="E253" i="280"/>
  <c r="M253" i="280" s="1"/>
  <c r="D253" i="280"/>
  <c r="L253" i="280" s="1"/>
  <c r="O251" i="280"/>
  <c r="N251" i="280"/>
  <c r="M251" i="280"/>
  <c r="L251" i="280"/>
  <c r="O250" i="280"/>
  <c r="N250" i="280"/>
  <c r="M250" i="280"/>
  <c r="L250" i="280"/>
  <c r="O249" i="280"/>
  <c r="N249" i="280"/>
  <c r="M249" i="280"/>
  <c r="L249" i="280"/>
  <c r="O248" i="280"/>
  <c r="N248" i="280"/>
  <c r="M248" i="280"/>
  <c r="L248" i="280"/>
  <c r="O247" i="280"/>
  <c r="N247" i="280"/>
  <c r="M247" i="280"/>
  <c r="L247" i="280"/>
  <c r="O246" i="280"/>
  <c r="N246" i="280"/>
  <c r="M246" i="280"/>
  <c r="L246" i="280"/>
  <c r="O245" i="280"/>
  <c r="N245" i="280"/>
  <c r="M245" i="280"/>
  <c r="L245" i="280"/>
  <c r="O244" i="280"/>
  <c r="N244" i="280"/>
  <c r="M244" i="280"/>
  <c r="L244" i="280"/>
  <c r="O243" i="280"/>
  <c r="N243" i="280"/>
  <c r="M243" i="280"/>
  <c r="L243" i="280"/>
  <c r="O242" i="280"/>
  <c r="N242" i="280"/>
  <c r="M242" i="280"/>
  <c r="L242" i="280"/>
  <c r="O241" i="280"/>
  <c r="N241" i="280"/>
  <c r="M241" i="280"/>
  <c r="L241" i="280"/>
  <c r="O240" i="280"/>
  <c r="N240" i="280"/>
  <c r="M240" i="280"/>
  <c r="L240" i="280"/>
  <c r="O239" i="280"/>
  <c r="N239" i="280"/>
  <c r="M239" i="280"/>
  <c r="L239" i="280"/>
  <c r="O238" i="280"/>
  <c r="N238" i="280"/>
  <c r="M238" i="280"/>
  <c r="L238" i="280"/>
  <c r="O237" i="280"/>
  <c r="N237" i="280"/>
  <c r="M237" i="280"/>
  <c r="L237" i="280"/>
  <c r="O236" i="280"/>
  <c r="N236" i="280"/>
  <c r="M236" i="280"/>
  <c r="L236" i="280"/>
  <c r="O235" i="280"/>
  <c r="N235" i="280"/>
  <c r="M235" i="280"/>
  <c r="L235" i="280"/>
  <c r="O234" i="280"/>
  <c r="N234" i="280"/>
  <c r="M234" i="280"/>
  <c r="L234" i="280"/>
  <c r="O233" i="280"/>
  <c r="N233" i="280"/>
  <c r="M233" i="280"/>
  <c r="L233" i="280"/>
  <c r="O232" i="280"/>
  <c r="N232" i="280"/>
  <c r="M232" i="280"/>
  <c r="L232" i="280"/>
  <c r="O231" i="280"/>
  <c r="N231" i="280"/>
  <c r="M231" i="280"/>
  <c r="L231" i="280"/>
  <c r="O230" i="280"/>
  <c r="N230" i="280"/>
  <c r="M230" i="280"/>
  <c r="L230" i="280"/>
  <c r="O229" i="280"/>
  <c r="N229" i="280"/>
  <c r="M229" i="280"/>
  <c r="L229" i="280"/>
  <c r="O228" i="280"/>
  <c r="N228" i="280"/>
  <c r="M228" i="280"/>
  <c r="L228" i="280"/>
  <c r="O223" i="280"/>
  <c r="N223" i="280"/>
  <c r="M223" i="280"/>
  <c r="L223" i="280"/>
  <c r="O220" i="280"/>
  <c r="N220" i="280"/>
  <c r="M220" i="280"/>
  <c r="L220" i="280"/>
  <c r="O217" i="280"/>
  <c r="N217" i="280"/>
  <c r="M217" i="280"/>
  <c r="L217" i="280"/>
  <c r="K215" i="280"/>
  <c r="J215" i="280"/>
  <c r="I215" i="280"/>
  <c r="H215" i="280"/>
  <c r="G215" i="280"/>
  <c r="O215" i="280" s="1"/>
  <c r="F215" i="280"/>
  <c r="N215" i="280" s="1"/>
  <c r="E215" i="280"/>
  <c r="M215" i="280" s="1"/>
  <c r="D215" i="280"/>
  <c r="L215" i="280" s="1"/>
  <c r="O213" i="280"/>
  <c r="N213" i="280"/>
  <c r="M213" i="280"/>
  <c r="L213" i="280"/>
  <c r="K211" i="280"/>
  <c r="J211" i="280"/>
  <c r="I211" i="280"/>
  <c r="H211" i="280"/>
  <c r="G211" i="280"/>
  <c r="O211" i="280" s="1"/>
  <c r="F211" i="280"/>
  <c r="N211" i="280" s="1"/>
  <c r="E211" i="280"/>
  <c r="M211" i="280" s="1"/>
  <c r="D211" i="280"/>
  <c r="L211" i="280" s="1"/>
  <c r="O209" i="280"/>
  <c r="N209" i="280"/>
  <c r="M209" i="280"/>
  <c r="L209" i="280"/>
  <c r="O208" i="280"/>
  <c r="N208" i="280"/>
  <c r="M208" i="280"/>
  <c r="L208" i="280"/>
  <c r="O207" i="280"/>
  <c r="N207" i="280"/>
  <c r="M207" i="280"/>
  <c r="L207" i="280"/>
  <c r="O206" i="280"/>
  <c r="N206" i="280"/>
  <c r="M206" i="280"/>
  <c r="L206" i="280"/>
  <c r="O205" i="280"/>
  <c r="N205" i="280"/>
  <c r="M205" i="280"/>
  <c r="L205" i="280"/>
  <c r="O204" i="280"/>
  <c r="N204" i="280"/>
  <c r="M204" i="280"/>
  <c r="L204" i="280"/>
  <c r="O203" i="280"/>
  <c r="N203" i="280"/>
  <c r="M203" i="280"/>
  <c r="L203" i="280"/>
  <c r="O202" i="280"/>
  <c r="N202" i="280"/>
  <c r="M202" i="280"/>
  <c r="L202" i="280"/>
  <c r="O201" i="280"/>
  <c r="N201" i="280"/>
  <c r="M201" i="280"/>
  <c r="L201" i="280"/>
  <c r="O200" i="280"/>
  <c r="N200" i="280"/>
  <c r="M200" i="280"/>
  <c r="L200" i="280"/>
  <c r="O199" i="280"/>
  <c r="N199" i="280"/>
  <c r="M199" i="280"/>
  <c r="L199" i="280"/>
  <c r="O198" i="280"/>
  <c r="N198" i="280"/>
  <c r="M198" i="280"/>
  <c r="L198" i="280"/>
  <c r="O197" i="280"/>
  <c r="N197" i="280"/>
  <c r="M197" i="280"/>
  <c r="L197" i="280"/>
  <c r="K194" i="280"/>
  <c r="K225" i="280" s="1"/>
  <c r="J194" i="280"/>
  <c r="J225" i="280" s="1"/>
  <c r="I194" i="280"/>
  <c r="I225" i="280" s="1"/>
  <c r="H194" i="280"/>
  <c r="H225" i="280" s="1"/>
  <c r="G194" i="280"/>
  <c r="G225" i="280" s="1"/>
  <c r="O225" i="280" s="1"/>
  <c r="F194" i="280"/>
  <c r="F225" i="280" s="1"/>
  <c r="N225" i="280" s="1"/>
  <c r="E194" i="280"/>
  <c r="E225" i="280" s="1"/>
  <c r="M225" i="280" s="1"/>
  <c r="D194" i="280"/>
  <c r="L194" i="280" s="1"/>
  <c r="O192" i="280"/>
  <c r="N192" i="280"/>
  <c r="M192" i="280"/>
  <c r="L192" i="280"/>
  <c r="O191" i="280"/>
  <c r="N191" i="280"/>
  <c r="M191" i="280"/>
  <c r="L191" i="280"/>
  <c r="O190" i="280"/>
  <c r="N190" i="280"/>
  <c r="M190" i="280"/>
  <c r="L190" i="280"/>
  <c r="O189" i="280"/>
  <c r="N189" i="280"/>
  <c r="M189" i="280"/>
  <c r="L189" i="280"/>
  <c r="O188" i="280"/>
  <c r="N188" i="280"/>
  <c r="M188" i="280"/>
  <c r="L188" i="280"/>
  <c r="O187" i="280"/>
  <c r="N187" i="280"/>
  <c r="M187" i="280"/>
  <c r="L187" i="280"/>
  <c r="O186" i="280"/>
  <c r="N186" i="280"/>
  <c r="M186" i="280"/>
  <c r="L186" i="280"/>
  <c r="O185" i="280"/>
  <c r="N185" i="280"/>
  <c r="M185" i="280"/>
  <c r="L185" i="280"/>
  <c r="K181" i="280"/>
  <c r="J181" i="280"/>
  <c r="I181" i="280"/>
  <c r="H181" i="280"/>
  <c r="G181" i="280"/>
  <c r="O181" i="280" s="1"/>
  <c r="F181" i="280"/>
  <c r="N181" i="280" s="1"/>
  <c r="E181" i="280"/>
  <c r="M181" i="280" s="1"/>
  <c r="D181" i="280"/>
  <c r="L181" i="280" s="1"/>
  <c r="O179" i="280"/>
  <c r="N179" i="280"/>
  <c r="M179" i="280"/>
  <c r="L179" i="280"/>
  <c r="O178" i="280"/>
  <c r="N178" i="280"/>
  <c r="M178" i="280"/>
  <c r="L178" i="280"/>
  <c r="O177" i="280"/>
  <c r="N177" i="280"/>
  <c r="M177" i="280"/>
  <c r="L177" i="280"/>
  <c r="O176" i="280"/>
  <c r="N176" i="280"/>
  <c r="M176" i="280"/>
  <c r="L176" i="280"/>
  <c r="O175" i="280"/>
  <c r="N175" i="280"/>
  <c r="M175" i="280"/>
  <c r="L175" i="280"/>
  <c r="O174" i="280"/>
  <c r="N174" i="280"/>
  <c r="M174" i="280"/>
  <c r="L174" i="280"/>
  <c r="O173" i="280"/>
  <c r="N173" i="280"/>
  <c r="M173" i="280"/>
  <c r="L173" i="280"/>
  <c r="O172" i="280"/>
  <c r="N172" i="280"/>
  <c r="M172" i="280"/>
  <c r="L172" i="280"/>
  <c r="O171" i="280"/>
  <c r="N171" i="280"/>
  <c r="M171" i="280"/>
  <c r="L171" i="280"/>
  <c r="K167" i="280"/>
  <c r="J167" i="280"/>
  <c r="I167" i="280"/>
  <c r="H167" i="280"/>
  <c r="G167" i="280"/>
  <c r="O167" i="280" s="1"/>
  <c r="F167" i="280"/>
  <c r="N167" i="280" s="1"/>
  <c r="E167" i="280"/>
  <c r="M167" i="280" s="1"/>
  <c r="D167" i="280"/>
  <c r="L167" i="280" s="1"/>
  <c r="O165" i="280"/>
  <c r="N165" i="280"/>
  <c r="M165" i="280"/>
  <c r="L165" i="280"/>
  <c r="O164" i="280"/>
  <c r="N164" i="280"/>
  <c r="M164" i="280"/>
  <c r="L164" i="280"/>
  <c r="O163" i="280"/>
  <c r="N163" i="280"/>
  <c r="M163" i="280"/>
  <c r="L163" i="280"/>
  <c r="O162" i="280"/>
  <c r="N162" i="280"/>
  <c r="M162" i="280"/>
  <c r="L162" i="280"/>
  <c r="O161" i="280"/>
  <c r="N161" i="280"/>
  <c r="M161" i="280"/>
  <c r="L161" i="280"/>
  <c r="O160" i="280"/>
  <c r="N160" i="280"/>
  <c r="M160" i="280"/>
  <c r="L160" i="280"/>
  <c r="O159" i="280"/>
  <c r="N159" i="280"/>
  <c r="M159" i="280"/>
  <c r="L159" i="280"/>
  <c r="O158" i="280"/>
  <c r="N158" i="280"/>
  <c r="M158" i="280"/>
  <c r="L158" i="280"/>
  <c r="O157" i="280"/>
  <c r="N157" i="280"/>
  <c r="M157" i="280"/>
  <c r="L157" i="280"/>
  <c r="O156" i="280"/>
  <c r="N156" i="280"/>
  <c r="M156" i="280"/>
  <c r="L156" i="280"/>
  <c r="O155" i="280"/>
  <c r="N155" i="280"/>
  <c r="M155" i="280"/>
  <c r="L155" i="280"/>
  <c r="O154" i="280"/>
  <c r="N154" i="280"/>
  <c r="M154" i="280"/>
  <c r="L154" i="280"/>
  <c r="O153" i="280"/>
  <c r="N153" i="280"/>
  <c r="M153" i="280"/>
  <c r="L153" i="280"/>
  <c r="O152" i="280"/>
  <c r="N152" i="280"/>
  <c r="M152" i="280"/>
  <c r="L152" i="280"/>
  <c r="O151" i="280"/>
  <c r="N151" i="280"/>
  <c r="M151" i="280"/>
  <c r="L151" i="280"/>
  <c r="O150" i="280"/>
  <c r="N150" i="280"/>
  <c r="M150" i="280"/>
  <c r="L150" i="280"/>
  <c r="O149" i="280"/>
  <c r="N149" i="280"/>
  <c r="M149" i="280"/>
  <c r="L149" i="280"/>
  <c r="O148" i="280"/>
  <c r="N148" i="280"/>
  <c r="M148" i="280"/>
  <c r="L148" i="280"/>
  <c r="O147" i="280"/>
  <c r="N147" i="280"/>
  <c r="M147" i="280"/>
  <c r="L147" i="280"/>
  <c r="O146" i="280"/>
  <c r="N146" i="280"/>
  <c r="M146" i="280"/>
  <c r="L146" i="280"/>
  <c r="O145" i="280"/>
  <c r="N145" i="280"/>
  <c r="M145" i="280"/>
  <c r="L145" i="280"/>
  <c r="O144" i="280"/>
  <c r="N144" i="280"/>
  <c r="M144" i="280"/>
  <c r="L144" i="280"/>
  <c r="O143" i="280"/>
  <c r="N143" i="280"/>
  <c r="M143" i="280"/>
  <c r="L143" i="280"/>
  <c r="O142" i="280"/>
  <c r="N142" i="280"/>
  <c r="M142" i="280"/>
  <c r="L142" i="280"/>
  <c r="O141" i="280"/>
  <c r="N141" i="280"/>
  <c r="M141" i="280"/>
  <c r="L141" i="280"/>
  <c r="O140" i="280"/>
  <c r="N140" i="280"/>
  <c r="M140" i="280"/>
  <c r="L140" i="280"/>
  <c r="O139" i="280"/>
  <c r="N139" i="280"/>
  <c r="M139" i="280"/>
  <c r="L139" i="280"/>
  <c r="O138" i="280"/>
  <c r="N138" i="280"/>
  <c r="M138" i="280"/>
  <c r="L138" i="280"/>
  <c r="O137" i="280"/>
  <c r="N137" i="280"/>
  <c r="M137" i="280"/>
  <c r="L137" i="280"/>
  <c r="O136" i="280"/>
  <c r="N136" i="280"/>
  <c r="M136" i="280"/>
  <c r="L136" i="280"/>
  <c r="O135" i="280"/>
  <c r="N135" i="280"/>
  <c r="M135" i="280"/>
  <c r="L135" i="280"/>
  <c r="O134" i="280"/>
  <c r="N134" i="280"/>
  <c r="M134" i="280"/>
  <c r="L134" i="280"/>
  <c r="O133" i="280"/>
  <c r="N133" i="280"/>
  <c r="M133" i="280"/>
  <c r="L133" i="280"/>
  <c r="O132" i="280"/>
  <c r="N132" i="280"/>
  <c r="M132" i="280"/>
  <c r="L132" i="280"/>
  <c r="O131" i="280"/>
  <c r="N131" i="280"/>
  <c r="M131" i="280"/>
  <c r="L131" i="280"/>
  <c r="O130" i="280"/>
  <c r="N130" i="280"/>
  <c r="M130" i="280"/>
  <c r="L130" i="280"/>
  <c r="O129" i="280"/>
  <c r="N129" i="280"/>
  <c r="M129" i="280"/>
  <c r="L129" i="280"/>
  <c r="O128" i="280"/>
  <c r="N128" i="280"/>
  <c r="M128" i="280"/>
  <c r="L128" i="280"/>
  <c r="O127" i="280"/>
  <c r="N127" i="280"/>
  <c r="M127" i="280"/>
  <c r="L127" i="280"/>
  <c r="O126" i="280"/>
  <c r="N126" i="280"/>
  <c r="M126" i="280"/>
  <c r="L126" i="280"/>
  <c r="O125" i="280"/>
  <c r="N125" i="280"/>
  <c r="M125" i="280"/>
  <c r="L125" i="280"/>
  <c r="O124" i="280"/>
  <c r="N124" i="280"/>
  <c r="M124" i="280"/>
  <c r="L124" i="280"/>
  <c r="O123" i="280"/>
  <c r="N123" i="280"/>
  <c r="M123" i="280"/>
  <c r="L123" i="280"/>
  <c r="O122" i="280"/>
  <c r="N122" i="280"/>
  <c r="M122" i="280"/>
  <c r="L122" i="280"/>
  <c r="O121" i="280"/>
  <c r="N121" i="280"/>
  <c r="M121" i="280"/>
  <c r="L121" i="280"/>
  <c r="O120" i="280"/>
  <c r="N120" i="280"/>
  <c r="M120" i="280"/>
  <c r="L120" i="280"/>
  <c r="O119" i="280"/>
  <c r="N119" i="280"/>
  <c r="M119" i="280"/>
  <c r="L119" i="280"/>
  <c r="O118" i="280"/>
  <c r="N118" i="280"/>
  <c r="M118" i="280"/>
  <c r="L118" i="280"/>
  <c r="O117" i="280"/>
  <c r="N117" i="280"/>
  <c r="M117" i="280"/>
  <c r="L117" i="280"/>
  <c r="O116" i="280"/>
  <c r="N116" i="280"/>
  <c r="M116" i="280"/>
  <c r="L116" i="280"/>
  <c r="O115" i="280"/>
  <c r="N115" i="280"/>
  <c r="M115" i="280"/>
  <c r="L115" i="280"/>
  <c r="O114" i="280"/>
  <c r="N114" i="280"/>
  <c r="M114" i="280"/>
  <c r="L114" i="280"/>
  <c r="O113" i="280"/>
  <c r="N113" i="280"/>
  <c r="M113" i="280"/>
  <c r="L113" i="280"/>
  <c r="O112" i="280"/>
  <c r="N112" i="280"/>
  <c r="M112" i="280"/>
  <c r="L112" i="280"/>
  <c r="O111" i="280"/>
  <c r="N111" i="280"/>
  <c r="M111" i="280"/>
  <c r="L111" i="280"/>
  <c r="O110" i="280"/>
  <c r="N110" i="280"/>
  <c r="M110" i="280"/>
  <c r="L110" i="280"/>
  <c r="O109" i="280"/>
  <c r="N109" i="280"/>
  <c r="M109" i="280"/>
  <c r="L109" i="280"/>
  <c r="O108" i="280"/>
  <c r="N108" i="280"/>
  <c r="M108" i="280"/>
  <c r="L108" i="280"/>
  <c r="O107" i="280"/>
  <c r="N107" i="280"/>
  <c r="M107" i="280"/>
  <c r="L107" i="280"/>
  <c r="O106" i="280"/>
  <c r="N106" i="280"/>
  <c r="M106" i="280"/>
  <c r="L106" i="280"/>
  <c r="O105" i="280"/>
  <c r="N105" i="280"/>
  <c r="M105" i="280"/>
  <c r="L105" i="280"/>
  <c r="O104" i="280"/>
  <c r="N104" i="280"/>
  <c r="M104" i="280"/>
  <c r="L104" i="280"/>
  <c r="O103" i="280"/>
  <c r="N103" i="280"/>
  <c r="M103" i="280"/>
  <c r="L103" i="280"/>
  <c r="O102" i="280"/>
  <c r="N102" i="280"/>
  <c r="M102" i="280"/>
  <c r="L102" i="280"/>
  <c r="O101" i="280"/>
  <c r="N101" i="280"/>
  <c r="M101" i="280"/>
  <c r="L101" i="280"/>
  <c r="O100" i="280"/>
  <c r="N100" i="280"/>
  <c r="M100" i="280"/>
  <c r="L100" i="280"/>
  <c r="K97" i="280"/>
  <c r="J97" i="280"/>
  <c r="I97" i="280"/>
  <c r="H97" i="280"/>
  <c r="G97" i="280"/>
  <c r="O97" i="280" s="1"/>
  <c r="F97" i="280"/>
  <c r="N97" i="280" s="1"/>
  <c r="E97" i="280"/>
  <c r="M97" i="280" s="1"/>
  <c r="D97" i="280"/>
  <c r="L97" i="280" s="1"/>
  <c r="O95" i="280"/>
  <c r="N95" i="280"/>
  <c r="M95" i="280"/>
  <c r="L95" i="280"/>
  <c r="O94" i="280"/>
  <c r="N94" i="280"/>
  <c r="M94" i="280"/>
  <c r="L94" i="280"/>
  <c r="O93" i="280"/>
  <c r="N93" i="280"/>
  <c r="M93" i="280"/>
  <c r="L93" i="280"/>
  <c r="O92" i="280"/>
  <c r="N92" i="280"/>
  <c r="M92" i="280"/>
  <c r="L92" i="280"/>
  <c r="O91" i="280"/>
  <c r="N91" i="280"/>
  <c r="M91" i="280"/>
  <c r="L91" i="280"/>
  <c r="O90" i="280"/>
  <c r="N90" i="280"/>
  <c r="M90" i="280"/>
  <c r="L90" i="280"/>
  <c r="K87" i="280"/>
  <c r="K305" i="280" s="1"/>
  <c r="J87" i="280"/>
  <c r="J305" i="280" s="1"/>
  <c r="I87" i="280"/>
  <c r="I305" i="280" s="1"/>
  <c r="H87" i="280"/>
  <c r="H305" i="280" s="1"/>
  <c r="G87" i="280"/>
  <c r="G305" i="280" s="1"/>
  <c r="O305" i="280" s="1"/>
  <c r="F87" i="280"/>
  <c r="F305" i="280" s="1"/>
  <c r="N305" i="280" s="1"/>
  <c r="E87" i="280"/>
  <c r="E305" i="280" s="1"/>
  <c r="M305" i="280" s="1"/>
  <c r="D87" i="280"/>
  <c r="O85" i="280"/>
  <c r="N85" i="280"/>
  <c r="M85" i="280"/>
  <c r="L85" i="280"/>
  <c r="O84" i="280"/>
  <c r="N84" i="280"/>
  <c r="M84" i="280"/>
  <c r="L84" i="280"/>
  <c r="O83" i="280"/>
  <c r="N83" i="280"/>
  <c r="M83" i="280"/>
  <c r="L83" i="280"/>
  <c r="O82" i="280"/>
  <c r="N82" i="280"/>
  <c r="M82" i="280"/>
  <c r="L82" i="280"/>
  <c r="O81" i="280"/>
  <c r="N81" i="280"/>
  <c r="M81" i="280"/>
  <c r="L81" i="280"/>
  <c r="O80" i="280"/>
  <c r="N80" i="280"/>
  <c r="M80" i="280"/>
  <c r="L80" i="280"/>
  <c r="K74" i="280"/>
  <c r="K76" i="280" s="1"/>
  <c r="J74" i="280"/>
  <c r="J76" i="280" s="1"/>
  <c r="I74" i="280"/>
  <c r="I76" i="280" s="1"/>
  <c r="H74" i="280"/>
  <c r="H76" i="280" s="1"/>
  <c r="G74" i="280"/>
  <c r="G76" i="280" s="1"/>
  <c r="O76" i="280" s="1"/>
  <c r="F74" i="280"/>
  <c r="F76" i="280" s="1"/>
  <c r="N76" i="280" s="1"/>
  <c r="E74" i="280"/>
  <c r="E76" i="280" s="1"/>
  <c r="M76" i="280" s="1"/>
  <c r="D74" i="280"/>
  <c r="D76" i="280" s="1"/>
  <c r="L76" i="280" s="1"/>
  <c r="O73" i="280"/>
  <c r="N73" i="280"/>
  <c r="M73" i="280"/>
  <c r="L73" i="280"/>
  <c r="O72" i="280"/>
  <c r="N72" i="280"/>
  <c r="M72" i="280"/>
  <c r="L72" i="280"/>
  <c r="O71" i="280"/>
  <c r="N71" i="280"/>
  <c r="M71" i="280"/>
  <c r="L71" i="280"/>
  <c r="O70" i="280"/>
  <c r="N70" i="280"/>
  <c r="M70" i="280"/>
  <c r="L70" i="280"/>
  <c r="O68" i="280"/>
  <c r="N68" i="280"/>
  <c r="M68" i="280"/>
  <c r="L68" i="280"/>
  <c r="O67" i="280"/>
  <c r="N67" i="280"/>
  <c r="M67" i="280"/>
  <c r="L67" i="280"/>
  <c r="O66" i="280"/>
  <c r="N66" i="280"/>
  <c r="M66" i="280"/>
  <c r="L66" i="280"/>
  <c r="K60" i="280"/>
  <c r="J60" i="280"/>
  <c r="I60" i="280"/>
  <c r="H60" i="280"/>
  <c r="G60" i="280"/>
  <c r="O60" i="280" s="1"/>
  <c r="F60" i="280"/>
  <c r="N60" i="280" s="1"/>
  <c r="E60" i="280"/>
  <c r="M60" i="280" s="1"/>
  <c r="D60" i="280"/>
  <c r="L60" i="280" s="1"/>
  <c r="O59" i="280"/>
  <c r="N59" i="280"/>
  <c r="M59" i="280"/>
  <c r="L59" i="280"/>
  <c r="K57" i="280"/>
  <c r="K61" i="280" s="1"/>
  <c r="J57" i="280"/>
  <c r="J61" i="280" s="1"/>
  <c r="I57" i="280"/>
  <c r="I61" i="280" s="1"/>
  <c r="H57" i="280"/>
  <c r="H61" i="280" s="1"/>
  <c r="G57" i="280"/>
  <c r="G61" i="280" s="1"/>
  <c r="O61" i="280" s="1"/>
  <c r="F57" i="280"/>
  <c r="F61" i="280" s="1"/>
  <c r="N61" i="280" s="1"/>
  <c r="E57" i="280"/>
  <c r="E61" i="280" s="1"/>
  <c r="M61" i="280" s="1"/>
  <c r="D57" i="280"/>
  <c r="D61" i="280" s="1"/>
  <c r="L61" i="280" s="1"/>
  <c r="O56" i="280"/>
  <c r="N56" i="280"/>
  <c r="M56" i="280"/>
  <c r="L56" i="280"/>
  <c r="O54" i="280"/>
  <c r="N54" i="280"/>
  <c r="M54" i="280"/>
  <c r="L54" i="280"/>
  <c r="O53" i="280"/>
  <c r="N53" i="280"/>
  <c r="M53" i="280"/>
  <c r="L53" i="280"/>
  <c r="O52" i="280"/>
  <c r="N52" i="280"/>
  <c r="M52" i="280"/>
  <c r="L52" i="280"/>
  <c r="K48" i="280"/>
  <c r="K49" i="280" s="1"/>
  <c r="J48" i="280"/>
  <c r="J49" i="280" s="1"/>
  <c r="I48" i="280"/>
  <c r="I49" i="280" s="1"/>
  <c r="H48" i="280"/>
  <c r="H49" i="280" s="1"/>
  <c r="G48" i="280"/>
  <c r="G49" i="280" s="1"/>
  <c r="O49" i="280" s="1"/>
  <c r="F48" i="280"/>
  <c r="F49" i="280" s="1"/>
  <c r="N49" i="280" s="1"/>
  <c r="E48" i="280"/>
  <c r="E49" i="280" s="1"/>
  <c r="M49" i="280" s="1"/>
  <c r="D48" i="280"/>
  <c r="L48" i="280" s="1"/>
  <c r="O47" i="280"/>
  <c r="N47" i="280"/>
  <c r="M47" i="280"/>
  <c r="L47" i="280"/>
  <c r="O45" i="280"/>
  <c r="N45" i="280"/>
  <c r="M45" i="280"/>
  <c r="L45" i="280"/>
  <c r="O44" i="280"/>
  <c r="N44" i="280"/>
  <c r="M44" i="280"/>
  <c r="L44" i="280"/>
  <c r="O43" i="280"/>
  <c r="N43" i="280"/>
  <c r="M43" i="280"/>
  <c r="L43" i="280"/>
  <c r="K38" i="280"/>
  <c r="K40" i="280" s="1"/>
  <c r="J38" i="280"/>
  <c r="J40" i="280" s="1"/>
  <c r="I38" i="280"/>
  <c r="I40" i="280" s="1"/>
  <c r="H38" i="280"/>
  <c r="H40" i="280" s="1"/>
  <c r="G38" i="280"/>
  <c r="G40" i="280" s="1"/>
  <c r="O40" i="280" s="1"/>
  <c r="F38" i="280"/>
  <c r="F40" i="280" s="1"/>
  <c r="N40" i="280" s="1"/>
  <c r="E38" i="280"/>
  <c r="E40" i="280" s="1"/>
  <c r="M40" i="280" s="1"/>
  <c r="D38" i="280"/>
  <c r="L38" i="280" s="1"/>
  <c r="O37" i="280"/>
  <c r="N37" i="280"/>
  <c r="M37" i="280"/>
  <c r="L37" i="280"/>
  <c r="K35" i="280"/>
  <c r="J35" i="280"/>
  <c r="I35" i="280"/>
  <c r="H35" i="280"/>
  <c r="G35" i="280"/>
  <c r="O35" i="280" s="1"/>
  <c r="F35" i="280"/>
  <c r="N35" i="280" s="1"/>
  <c r="E35" i="280"/>
  <c r="M35" i="280" s="1"/>
  <c r="D35" i="280"/>
  <c r="L35" i="280" s="1"/>
  <c r="O34" i="280"/>
  <c r="N34" i="280"/>
  <c r="M34" i="280"/>
  <c r="L34" i="280"/>
  <c r="O33" i="280"/>
  <c r="N33" i="280"/>
  <c r="M33" i="280"/>
  <c r="L33" i="280"/>
  <c r="O31" i="280"/>
  <c r="N31" i="280"/>
  <c r="M31" i="280"/>
  <c r="L31" i="280"/>
  <c r="O30" i="280"/>
  <c r="N30" i="280"/>
  <c r="M30" i="280"/>
  <c r="L30" i="280"/>
  <c r="O29" i="280"/>
  <c r="N29" i="280"/>
  <c r="M29" i="280"/>
  <c r="L29" i="280"/>
  <c r="K25" i="280"/>
  <c r="J25" i="280"/>
  <c r="I25" i="280"/>
  <c r="H25" i="280"/>
  <c r="G25" i="280"/>
  <c r="O25" i="280" s="1"/>
  <c r="F25" i="280"/>
  <c r="N25" i="280" s="1"/>
  <c r="E25" i="280"/>
  <c r="M25" i="280" s="1"/>
  <c r="D25" i="280"/>
  <c r="L25" i="280" s="1"/>
  <c r="O24" i="280"/>
  <c r="N24" i="280"/>
  <c r="M24" i="280"/>
  <c r="L24" i="280"/>
  <c r="O23" i="280"/>
  <c r="N23" i="280"/>
  <c r="M23" i="280"/>
  <c r="L23" i="280"/>
  <c r="K21" i="280"/>
  <c r="K26" i="280" s="1"/>
  <c r="K63" i="280" s="1"/>
  <c r="K316" i="280" s="1"/>
  <c r="J21" i="280"/>
  <c r="J26" i="280" s="1"/>
  <c r="I21" i="280"/>
  <c r="I26" i="280" s="1"/>
  <c r="I63" i="280" s="1"/>
  <c r="I316" i="280" s="1"/>
  <c r="H21" i="280"/>
  <c r="G21" i="280"/>
  <c r="G26" i="280" s="1"/>
  <c r="F21" i="280"/>
  <c r="F26" i="280" s="1"/>
  <c r="E21" i="280"/>
  <c r="E26" i="280" s="1"/>
  <c r="D21" i="280"/>
  <c r="D26" i="280" s="1"/>
  <c r="O20" i="280"/>
  <c r="N20" i="280"/>
  <c r="M20" i="280"/>
  <c r="L20" i="280"/>
  <c r="O19" i="280"/>
  <c r="N19" i="280"/>
  <c r="M19" i="280"/>
  <c r="L19" i="280"/>
  <c r="O18" i="280"/>
  <c r="N18" i="280"/>
  <c r="M18" i="280"/>
  <c r="L18" i="280"/>
  <c r="O17" i="280"/>
  <c r="N17" i="280"/>
  <c r="M17" i="280"/>
  <c r="L17" i="280"/>
  <c r="K15" i="280"/>
  <c r="O15" i="280" s="1"/>
  <c r="J15" i="280"/>
  <c r="N15" i="280" s="1"/>
  <c r="I15" i="280"/>
  <c r="M15" i="280" s="1"/>
  <c r="H15" i="280"/>
  <c r="L15" i="280" s="1"/>
  <c r="O14" i="280"/>
  <c r="N14" i="280"/>
  <c r="M14" i="280"/>
  <c r="L14" i="280"/>
  <c r="O12" i="280"/>
  <c r="N12" i="280"/>
  <c r="M12" i="280"/>
  <c r="L12" i="280"/>
  <c r="O11" i="280"/>
  <c r="N11" i="280"/>
  <c r="M11" i="280"/>
  <c r="L11" i="280"/>
  <c r="O10" i="280"/>
  <c r="N10" i="280"/>
  <c r="M10" i="280"/>
  <c r="L10" i="280"/>
  <c r="L10" i="279"/>
  <c r="M10" i="279"/>
  <c r="N10" i="279"/>
  <c r="O10" i="279"/>
  <c r="L12" i="279"/>
  <c r="M12" i="279"/>
  <c r="N12" i="279"/>
  <c r="O12" i="279"/>
  <c r="L13" i="279"/>
  <c r="M13" i="279"/>
  <c r="N13" i="279"/>
  <c r="O13" i="279"/>
  <c r="D14" i="279"/>
  <c r="E14" i="279"/>
  <c r="F14" i="279"/>
  <c r="G14" i="279"/>
  <c r="H14" i="279"/>
  <c r="I14" i="279"/>
  <c r="J14" i="279"/>
  <c r="K14" i="279"/>
  <c r="L14" i="279"/>
  <c r="M14" i="279"/>
  <c r="N14" i="279"/>
  <c r="O14" i="279"/>
  <c r="L17" i="279"/>
  <c r="M17" i="279"/>
  <c r="N17" i="279"/>
  <c r="O17" i="279"/>
  <c r="L19" i="279"/>
  <c r="M19" i="279"/>
  <c r="N19" i="279"/>
  <c r="O19" i="279"/>
  <c r="L20" i="279"/>
  <c r="M20" i="279"/>
  <c r="N20" i="279"/>
  <c r="O20" i="279"/>
  <c r="D21" i="279"/>
  <c r="E21" i="279"/>
  <c r="F21" i="279"/>
  <c r="G21" i="279"/>
  <c r="H21" i="279"/>
  <c r="I21" i="279"/>
  <c r="J21" i="279"/>
  <c r="K21" i="279"/>
  <c r="L21" i="279"/>
  <c r="M21" i="279"/>
  <c r="N21" i="279"/>
  <c r="O21" i="279"/>
  <c r="L24" i="279"/>
  <c r="M24" i="279"/>
  <c r="N24" i="279"/>
  <c r="O24" i="279"/>
  <c r="L25" i="279"/>
  <c r="M25" i="279"/>
  <c r="N25" i="279"/>
  <c r="O25" i="279"/>
  <c r="L27" i="279"/>
  <c r="M27" i="279"/>
  <c r="N27" i="279"/>
  <c r="O27" i="279"/>
  <c r="L28" i="279"/>
  <c r="M28" i="279"/>
  <c r="N28" i="279"/>
  <c r="O28" i="279"/>
  <c r="D29" i="279"/>
  <c r="E29" i="279"/>
  <c r="F29" i="279"/>
  <c r="G29" i="279"/>
  <c r="H29" i="279"/>
  <c r="I29" i="279"/>
  <c r="J29" i="279"/>
  <c r="K29" i="279"/>
  <c r="L29" i="279"/>
  <c r="M29" i="279"/>
  <c r="N29" i="279"/>
  <c r="O29" i="279"/>
  <c r="L32" i="279"/>
  <c r="M32" i="279"/>
  <c r="N32" i="279"/>
  <c r="O32" i="279"/>
  <c r="L34" i="279"/>
  <c r="M34" i="279"/>
  <c r="N34" i="279"/>
  <c r="O34" i="279"/>
  <c r="L35" i="279"/>
  <c r="M35" i="279"/>
  <c r="N35" i="279"/>
  <c r="O35" i="279"/>
  <c r="L36" i="279"/>
  <c r="M36" i="279"/>
  <c r="N36" i="279"/>
  <c r="O36" i="279"/>
  <c r="L37" i="279"/>
  <c r="M37" i="279"/>
  <c r="N37" i="279"/>
  <c r="O37" i="279"/>
  <c r="L38" i="279"/>
  <c r="M38" i="279"/>
  <c r="N38" i="279"/>
  <c r="O38" i="279"/>
  <c r="D39" i="279"/>
  <c r="E39" i="279"/>
  <c r="F39" i="279"/>
  <c r="G39" i="279"/>
  <c r="H39" i="279"/>
  <c r="I39" i="279"/>
  <c r="J39" i="279"/>
  <c r="K39" i="279"/>
  <c r="L39" i="279"/>
  <c r="M39" i="279"/>
  <c r="N39" i="279"/>
  <c r="O39" i="279"/>
  <c r="D41" i="279"/>
  <c r="E41" i="279"/>
  <c r="F41" i="279"/>
  <c r="G41" i="279"/>
  <c r="H41" i="279"/>
  <c r="I41" i="279"/>
  <c r="J41" i="279"/>
  <c r="K41" i="279"/>
  <c r="L41" i="279"/>
  <c r="M41" i="279"/>
  <c r="N41" i="279"/>
  <c r="O41" i="279"/>
  <c r="L45" i="279"/>
  <c r="M45" i="279"/>
  <c r="N45" i="279"/>
  <c r="O45" i="279"/>
  <c r="L46" i="279"/>
  <c r="M46" i="279"/>
  <c r="N46" i="279"/>
  <c r="O46" i="279"/>
  <c r="D47" i="279"/>
  <c r="E47" i="279"/>
  <c r="F47" i="279"/>
  <c r="G47" i="279"/>
  <c r="H47" i="279"/>
  <c r="I47" i="279"/>
  <c r="J47" i="279"/>
  <c r="K47" i="279"/>
  <c r="L47" i="279"/>
  <c r="M47" i="279"/>
  <c r="N47" i="279"/>
  <c r="O47" i="279"/>
  <c r="L49" i="279"/>
  <c r="M49" i="279"/>
  <c r="N49" i="279"/>
  <c r="O49" i="279"/>
  <c r="L50" i="279"/>
  <c r="M50" i="279"/>
  <c r="N50" i="279"/>
  <c r="O50" i="279"/>
  <c r="D51" i="279"/>
  <c r="E51" i="279"/>
  <c r="F51" i="279"/>
  <c r="G51" i="279"/>
  <c r="H51" i="279"/>
  <c r="I51" i="279"/>
  <c r="J51" i="279"/>
  <c r="K51" i="279"/>
  <c r="L51" i="279"/>
  <c r="M51" i="279"/>
  <c r="N51" i="279"/>
  <c r="O51" i="279"/>
  <c r="L55" i="279"/>
  <c r="M55" i="279"/>
  <c r="N55" i="279"/>
  <c r="O55" i="279"/>
  <c r="L56" i="279"/>
  <c r="M56" i="279"/>
  <c r="N56" i="279"/>
  <c r="O56" i="279"/>
  <c r="L57" i="279"/>
  <c r="M57" i="279"/>
  <c r="N57" i="279"/>
  <c r="O57" i="279"/>
  <c r="L58" i="279"/>
  <c r="M58" i="279"/>
  <c r="N58" i="279"/>
  <c r="O58" i="279"/>
  <c r="L59" i="279"/>
  <c r="M59" i="279"/>
  <c r="N59" i="279"/>
  <c r="O59" i="279"/>
  <c r="L60" i="279"/>
  <c r="M60" i="279"/>
  <c r="N60" i="279"/>
  <c r="O60" i="279"/>
  <c r="L61" i="279"/>
  <c r="M61" i="279"/>
  <c r="N61" i="279"/>
  <c r="O61" i="279"/>
  <c r="L62" i="279"/>
  <c r="M62" i="279"/>
  <c r="N62" i="279"/>
  <c r="O62" i="279"/>
  <c r="L63" i="279"/>
  <c r="M63" i="279"/>
  <c r="N63" i="279"/>
  <c r="O63" i="279"/>
  <c r="D65" i="279"/>
  <c r="E65" i="279"/>
  <c r="F65" i="279"/>
  <c r="G65" i="279"/>
  <c r="H65" i="279"/>
  <c r="I65" i="279"/>
  <c r="J65" i="279"/>
  <c r="K65" i="279"/>
  <c r="L65" i="279"/>
  <c r="M65" i="279"/>
  <c r="N65" i="279"/>
  <c r="O65" i="279"/>
  <c r="L69" i="279"/>
  <c r="M69" i="279"/>
  <c r="N69" i="279"/>
  <c r="O69" i="279"/>
  <c r="L70" i="279"/>
  <c r="M70" i="279"/>
  <c r="N70" i="279"/>
  <c r="O70" i="279"/>
  <c r="L71" i="279"/>
  <c r="M71" i="279"/>
  <c r="N71" i="279"/>
  <c r="O71" i="279"/>
  <c r="L72" i="279"/>
  <c r="M72" i="279"/>
  <c r="N72" i="279"/>
  <c r="O72" i="279"/>
  <c r="D73" i="279"/>
  <c r="E73" i="279"/>
  <c r="F73" i="279"/>
  <c r="G73" i="279"/>
  <c r="H73" i="279"/>
  <c r="I73" i="279"/>
  <c r="J73" i="279"/>
  <c r="K73" i="279"/>
  <c r="L73" i="279"/>
  <c r="M73" i="279"/>
  <c r="N73" i="279"/>
  <c r="O73" i="279"/>
  <c r="L76" i="279"/>
  <c r="M76" i="279"/>
  <c r="N76" i="279"/>
  <c r="O76" i="279"/>
  <c r="L77" i="279"/>
  <c r="M77" i="279"/>
  <c r="N77" i="279"/>
  <c r="O77" i="279"/>
  <c r="D78" i="279"/>
  <c r="E78" i="279"/>
  <c r="F78" i="279"/>
  <c r="G78" i="279"/>
  <c r="H78" i="279"/>
  <c r="I78" i="279"/>
  <c r="J78" i="279"/>
  <c r="K78" i="279"/>
  <c r="L78" i="279"/>
  <c r="M78" i="279"/>
  <c r="N78" i="279"/>
  <c r="O78" i="279"/>
  <c r="D80" i="279"/>
  <c r="E80" i="279"/>
  <c r="F80" i="279"/>
  <c r="G80" i="279"/>
  <c r="H80" i="279"/>
  <c r="I80" i="279"/>
  <c r="J80" i="279"/>
  <c r="K80" i="279"/>
  <c r="L80" i="279"/>
  <c r="M80" i="279"/>
  <c r="N80" i="279"/>
  <c r="O80" i="279"/>
  <c r="L84" i="279"/>
  <c r="M84" i="279"/>
  <c r="N84" i="279"/>
  <c r="O84" i="279"/>
  <c r="L85" i="279"/>
  <c r="M85" i="279"/>
  <c r="N85" i="279"/>
  <c r="O85" i="279"/>
  <c r="D86" i="279"/>
  <c r="L86" i="279"/>
  <c r="M86" i="279"/>
  <c r="N86" i="279"/>
  <c r="O86" i="279"/>
  <c r="L87" i="279"/>
  <c r="M87" i="279"/>
  <c r="N87" i="279"/>
  <c r="O87" i="279"/>
  <c r="L88" i="279"/>
  <c r="M88" i="279"/>
  <c r="N88" i="279"/>
  <c r="O88" i="279"/>
  <c r="L89" i="279"/>
  <c r="M89" i="279"/>
  <c r="N89" i="279"/>
  <c r="O89" i="279"/>
  <c r="D91" i="279"/>
  <c r="E91" i="279"/>
  <c r="F91" i="279"/>
  <c r="G91" i="279"/>
  <c r="H91" i="279"/>
  <c r="I91" i="279"/>
  <c r="J91" i="279"/>
  <c r="K91" i="279"/>
  <c r="L91" i="279"/>
  <c r="M91" i="279"/>
  <c r="N91" i="279"/>
  <c r="O91" i="279"/>
  <c r="L94" i="279"/>
  <c r="M94" i="279"/>
  <c r="N94" i="279"/>
  <c r="O94" i="279"/>
  <c r="D96" i="279"/>
  <c r="E96" i="279"/>
  <c r="F96" i="279"/>
  <c r="G96" i="279"/>
  <c r="H96" i="279"/>
  <c r="I96" i="279"/>
  <c r="J96" i="279"/>
  <c r="K96" i="279"/>
  <c r="L96" i="279"/>
  <c r="M96" i="279"/>
  <c r="N96" i="279"/>
  <c r="O96" i="279"/>
  <c r="L99" i="279"/>
  <c r="M99" i="279"/>
  <c r="N99" i="279"/>
  <c r="O99" i="279"/>
  <c r="D101" i="279"/>
  <c r="E101" i="279"/>
  <c r="F101" i="279"/>
  <c r="G101" i="279"/>
  <c r="H101" i="279"/>
  <c r="I101" i="279"/>
  <c r="J101" i="279"/>
  <c r="K101" i="279"/>
  <c r="L101" i="279"/>
  <c r="M101" i="279"/>
  <c r="N101" i="279"/>
  <c r="O101" i="279"/>
  <c r="L104" i="279"/>
  <c r="M104" i="279"/>
  <c r="N104" i="279"/>
  <c r="O104" i="279"/>
  <c r="D106" i="279"/>
  <c r="E106" i="279"/>
  <c r="F106" i="279"/>
  <c r="G106" i="279"/>
  <c r="H106" i="279"/>
  <c r="I106" i="279"/>
  <c r="J106" i="279"/>
  <c r="K106" i="279"/>
  <c r="L106" i="279"/>
  <c r="M106" i="279"/>
  <c r="N106" i="279"/>
  <c r="O106" i="279"/>
  <c r="D108" i="279"/>
  <c r="E108" i="279"/>
  <c r="F108" i="279"/>
  <c r="G108" i="279"/>
  <c r="H108" i="279"/>
  <c r="I108" i="279"/>
  <c r="J108" i="279"/>
  <c r="K108" i="279"/>
  <c r="L108" i="279"/>
  <c r="M108" i="279"/>
  <c r="N108" i="279"/>
  <c r="O108" i="279"/>
  <c r="L112" i="279"/>
  <c r="M112" i="279"/>
  <c r="N112" i="279"/>
  <c r="O112" i="279"/>
  <c r="L113" i="279"/>
  <c r="M113" i="279"/>
  <c r="N113" i="279"/>
  <c r="O113" i="279"/>
  <c r="L114" i="279"/>
  <c r="M114" i="279"/>
  <c r="N114" i="279"/>
  <c r="O114" i="279"/>
  <c r="L115" i="279"/>
  <c r="M115" i="279"/>
  <c r="N115" i="279"/>
  <c r="O115" i="279"/>
  <c r="L116" i="279"/>
  <c r="M116" i="279"/>
  <c r="N116" i="279"/>
  <c r="O116" i="279"/>
  <c r="D118" i="279"/>
  <c r="E118" i="279"/>
  <c r="F118" i="279"/>
  <c r="G118" i="279"/>
  <c r="H118" i="279"/>
  <c r="I118" i="279"/>
  <c r="J118" i="279"/>
  <c r="K118" i="279"/>
  <c r="L118" i="279"/>
  <c r="M118" i="279"/>
  <c r="N118" i="279"/>
  <c r="O118" i="279"/>
  <c r="L122" i="279"/>
  <c r="M122" i="279"/>
  <c r="N122" i="279"/>
  <c r="O122" i="279"/>
  <c r="L123" i="279"/>
  <c r="M123" i="279"/>
  <c r="N123" i="279"/>
  <c r="O123" i="279"/>
  <c r="L124" i="279"/>
  <c r="M124" i="279"/>
  <c r="N124" i="279"/>
  <c r="O124" i="279"/>
  <c r="L126" i="279"/>
  <c r="M126" i="279"/>
  <c r="N126" i="279"/>
  <c r="O126" i="279"/>
  <c r="L127" i="279"/>
  <c r="M127" i="279"/>
  <c r="N127" i="279"/>
  <c r="O127" i="279"/>
  <c r="L128" i="279"/>
  <c r="M128" i="279"/>
  <c r="N128" i="279"/>
  <c r="O128" i="279"/>
  <c r="L129" i="279"/>
  <c r="M129" i="279"/>
  <c r="N129" i="279"/>
  <c r="O129" i="279"/>
  <c r="L130" i="279"/>
  <c r="M130" i="279"/>
  <c r="N130" i="279"/>
  <c r="O130" i="279"/>
  <c r="L131" i="279"/>
  <c r="M131" i="279"/>
  <c r="N131" i="279"/>
  <c r="O131" i="279"/>
  <c r="L132" i="279"/>
  <c r="M132" i="279"/>
  <c r="N132" i="279"/>
  <c r="O132" i="279"/>
  <c r="L133" i="279"/>
  <c r="M133" i="279"/>
  <c r="N133" i="279"/>
  <c r="O133" i="279"/>
  <c r="L134" i="279"/>
  <c r="M134" i="279"/>
  <c r="N134" i="279"/>
  <c r="O134" i="279"/>
  <c r="L135" i="279"/>
  <c r="M135" i="279"/>
  <c r="N135" i="279"/>
  <c r="O135" i="279"/>
  <c r="L136" i="279"/>
  <c r="M136" i="279"/>
  <c r="N136" i="279"/>
  <c r="O136" i="279"/>
  <c r="L137" i="279"/>
  <c r="M137" i="279"/>
  <c r="N137" i="279"/>
  <c r="O137" i="279"/>
  <c r="L138" i="279"/>
  <c r="M138" i="279"/>
  <c r="N138" i="279"/>
  <c r="O138" i="279"/>
  <c r="D140" i="279"/>
  <c r="E140" i="279"/>
  <c r="F140" i="279"/>
  <c r="G140" i="279"/>
  <c r="H140" i="279"/>
  <c r="I140" i="279"/>
  <c r="J140" i="279"/>
  <c r="K140" i="279"/>
  <c r="L140" i="279"/>
  <c r="M140" i="279"/>
  <c r="N140" i="279"/>
  <c r="O140" i="279"/>
  <c r="L143" i="279"/>
  <c r="M143" i="279"/>
  <c r="N143" i="279"/>
  <c r="O143" i="279"/>
  <c r="L144" i="279"/>
  <c r="M144" i="279"/>
  <c r="N144" i="279"/>
  <c r="O144" i="279"/>
  <c r="L145" i="279"/>
  <c r="M145" i="279"/>
  <c r="N145" i="279"/>
  <c r="O145" i="279"/>
  <c r="L146" i="279"/>
  <c r="M146" i="279"/>
  <c r="N146" i="279"/>
  <c r="O146" i="279"/>
  <c r="L147" i="279"/>
  <c r="M147" i="279"/>
  <c r="N147" i="279"/>
  <c r="O147" i="279"/>
  <c r="L148" i="279"/>
  <c r="M148" i="279"/>
  <c r="N148" i="279"/>
  <c r="O148" i="279"/>
  <c r="L149" i="279"/>
  <c r="M149" i="279"/>
  <c r="N149" i="279"/>
  <c r="O149" i="279"/>
  <c r="L150" i="279"/>
  <c r="M150" i="279"/>
  <c r="N150" i="279"/>
  <c r="O150" i="279"/>
  <c r="L151" i="279"/>
  <c r="M151" i="279"/>
  <c r="N151" i="279"/>
  <c r="O151" i="279"/>
  <c r="L152" i="279"/>
  <c r="M152" i="279"/>
  <c r="N152" i="279"/>
  <c r="O152" i="279"/>
  <c r="L153" i="279"/>
  <c r="M153" i="279"/>
  <c r="N153" i="279"/>
  <c r="O153" i="279"/>
  <c r="D155" i="279"/>
  <c r="E155" i="279"/>
  <c r="F155" i="279"/>
  <c r="G155" i="279"/>
  <c r="H155" i="279"/>
  <c r="I155" i="279"/>
  <c r="J155" i="279"/>
  <c r="K155" i="279"/>
  <c r="L155" i="279"/>
  <c r="M155" i="279"/>
  <c r="N155" i="279"/>
  <c r="O155" i="279"/>
  <c r="D157" i="279"/>
  <c r="E157" i="279"/>
  <c r="F157" i="279"/>
  <c r="G157" i="279"/>
  <c r="H157" i="279"/>
  <c r="I157" i="279"/>
  <c r="J157" i="279"/>
  <c r="K157" i="279"/>
  <c r="L157" i="279"/>
  <c r="M157" i="279"/>
  <c r="N157" i="279"/>
  <c r="O157" i="279"/>
  <c r="L161" i="279"/>
  <c r="M161" i="279"/>
  <c r="N161" i="279"/>
  <c r="O161" i="279"/>
  <c r="L162" i="279"/>
  <c r="M162" i="279"/>
  <c r="N162" i="279"/>
  <c r="O162" i="279"/>
  <c r="D164" i="279"/>
  <c r="E164" i="279"/>
  <c r="F164" i="279"/>
  <c r="G164" i="279"/>
  <c r="H164" i="279"/>
  <c r="I164" i="279"/>
  <c r="J164" i="279"/>
  <c r="K164" i="279"/>
  <c r="L164" i="279"/>
  <c r="M164" i="279"/>
  <c r="N164" i="279"/>
  <c r="O164" i="279"/>
  <c r="L167" i="279"/>
  <c r="M167" i="279"/>
  <c r="N167" i="279"/>
  <c r="O167" i="279"/>
  <c r="D169" i="279"/>
  <c r="E169" i="279"/>
  <c r="F169" i="279"/>
  <c r="G169" i="279"/>
  <c r="H169" i="279"/>
  <c r="I169" i="279"/>
  <c r="J169" i="279"/>
  <c r="K169" i="279"/>
  <c r="L169" i="279"/>
  <c r="M169" i="279"/>
  <c r="N169" i="279"/>
  <c r="O169" i="279"/>
  <c r="D171" i="279"/>
  <c r="E171" i="279"/>
  <c r="F171" i="279"/>
  <c r="G171" i="279"/>
  <c r="H171" i="279"/>
  <c r="I171" i="279"/>
  <c r="J171" i="279"/>
  <c r="K171" i="279"/>
  <c r="L171" i="279"/>
  <c r="M171" i="279"/>
  <c r="N171" i="279"/>
  <c r="O171" i="279"/>
  <c r="L175" i="279"/>
  <c r="M175" i="279"/>
  <c r="N175" i="279"/>
  <c r="O175" i="279"/>
  <c r="D177" i="279"/>
  <c r="E177" i="279"/>
  <c r="F177" i="279"/>
  <c r="G177" i="279"/>
  <c r="H177" i="279"/>
  <c r="I177" i="279"/>
  <c r="J177" i="279"/>
  <c r="K177" i="279"/>
  <c r="L177" i="279"/>
  <c r="M177" i="279"/>
  <c r="N177" i="279"/>
  <c r="O177" i="279"/>
  <c r="L180" i="279"/>
  <c r="M180" i="279"/>
  <c r="N180" i="279"/>
  <c r="O180" i="279"/>
  <c r="L181" i="279"/>
  <c r="M181" i="279"/>
  <c r="N181" i="279"/>
  <c r="O181" i="279"/>
  <c r="D183" i="279"/>
  <c r="E183" i="279"/>
  <c r="F183" i="279"/>
  <c r="G183" i="279"/>
  <c r="H183" i="279"/>
  <c r="I183" i="279"/>
  <c r="J183" i="279"/>
  <c r="K183" i="279"/>
  <c r="L183" i="279"/>
  <c r="M183" i="279"/>
  <c r="N183" i="279"/>
  <c r="O183" i="279"/>
  <c r="D185" i="279"/>
  <c r="E185" i="279"/>
  <c r="F185" i="279"/>
  <c r="G185" i="279"/>
  <c r="H185" i="279"/>
  <c r="I185" i="279"/>
  <c r="J185" i="279"/>
  <c r="K185" i="279"/>
  <c r="L185" i="279"/>
  <c r="M185" i="279"/>
  <c r="N185" i="279"/>
  <c r="O185" i="279"/>
  <c r="D187" i="279"/>
  <c r="E187" i="279"/>
  <c r="F187" i="279"/>
  <c r="G187" i="279"/>
  <c r="H187" i="279"/>
  <c r="I187" i="279"/>
  <c r="J187" i="279"/>
  <c r="K187" i="279"/>
  <c r="L187" i="279"/>
  <c r="M187" i="279"/>
  <c r="N187" i="279"/>
  <c r="O187" i="279"/>
  <c r="D190" i="279"/>
  <c r="E190" i="279"/>
  <c r="F190" i="279"/>
  <c r="G190" i="279"/>
  <c r="H190" i="279"/>
  <c r="I190" i="279"/>
  <c r="J190" i="279"/>
  <c r="K190" i="279"/>
  <c r="L190" i="279"/>
  <c r="M190" i="279"/>
  <c r="N190" i="279"/>
  <c r="O190" i="279"/>
  <c r="L194" i="279"/>
  <c r="M194" i="279"/>
  <c r="N194" i="279"/>
  <c r="O194" i="279"/>
  <c r="L195" i="279"/>
  <c r="M195" i="279"/>
  <c r="N195" i="279"/>
  <c r="O195" i="279"/>
  <c r="L196" i="279"/>
  <c r="M196" i="279"/>
  <c r="N196" i="279"/>
  <c r="O196" i="279"/>
  <c r="L197" i="279"/>
  <c r="M197" i="279"/>
  <c r="N197" i="279"/>
  <c r="O197" i="279"/>
  <c r="L198" i="279"/>
  <c r="M198" i="279"/>
  <c r="N198" i="279"/>
  <c r="O198" i="279"/>
  <c r="L199" i="279"/>
  <c r="M199" i="279"/>
  <c r="N199" i="279"/>
  <c r="O199" i="279"/>
  <c r="L200" i="279"/>
  <c r="M200" i="279"/>
  <c r="N200" i="279"/>
  <c r="O200" i="279"/>
  <c r="D201" i="279"/>
  <c r="E201" i="279"/>
  <c r="F201" i="279"/>
  <c r="G201" i="279"/>
  <c r="H201" i="279"/>
  <c r="I201" i="279"/>
  <c r="J201" i="279"/>
  <c r="K201" i="279"/>
  <c r="L201" i="279"/>
  <c r="M201" i="279"/>
  <c r="N201" i="279"/>
  <c r="O201" i="279"/>
  <c r="L204" i="279"/>
  <c r="M204" i="279"/>
  <c r="N204" i="279"/>
  <c r="O204" i="279"/>
  <c r="L205" i="279"/>
  <c r="M205" i="279"/>
  <c r="N205" i="279"/>
  <c r="O205" i="279"/>
  <c r="L206" i="279"/>
  <c r="M206" i="279"/>
  <c r="N206" i="279"/>
  <c r="O206" i="279"/>
  <c r="L207" i="279"/>
  <c r="M207" i="279"/>
  <c r="N207" i="279"/>
  <c r="O207" i="279"/>
  <c r="L208" i="279"/>
  <c r="M208" i="279"/>
  <c r="N208" i="279"/>
  <c r="O208" i="279"/>
  <c r="L209" i="279"/>
  <c r="M209" i="279"/>
  <c r="N209" i="279"/>
  <c r="O209" i="279"/>
  <c r="L210" i="279"/>
  <c r="M210" i="279"/>
  <c r="N210" i="279"/>
  <c r="O210" i="279"/>
  <c r="D211" i="279"/>
  <c r="L211" i="279" s="1"/>
  <c r="E211" i="279"/>
  <c r="F211" i="279"/>
  <c r="G211" i="279"/>
  <c r="H211" i="279"/>
  <c r="I211" i="279"/>
  <c r="J211" i="279"/>
  <c r="K211" i="279"/>
  <c r="M211" i="279"/>
  <c r="N211" i="279"/>
  <c r="O211" i="279"/>
  <c r="L214" i="279"/>
  <c r="M214" i="279"/>
  <c r="N214" i="279"/>
  <c r="O214" i="279"/>
  <c r="L215" i="279"/>
  <c r="M215" i="279"/>
  <c r="N215" i="279"/>
  <c r="O215" i="279"/>
  <c r="L216" i="279"/>
  <c r="M216" i="279"/>
  <c r="N216" i="279"/>
  <c r="O216" i="279"/>
  <c r="D217" i="279"/>
  <c r="E217" i="279"/>
  <c r="F217" i="279"/>
  <c r="G217" i="279"/>
  <c r="H217" i="279"/>
  <c r="L217" i="279" s="1"/>
  <c r="I217" i="279"/>
  <c r="J217" i="279"/>
  <c r="K217" i="279"/>
  <c r="M217" i="279"/>
  <c r="N217" i="279"/>
  <c r="O217" i="279"/>
  <c r="L219" i="279"/>
  <c r="M219" i="279"/>
  <c r="N219" i="279"/>
  <c r="O219" i="279"/>
  <c r="D221" i="279"/>
  <c r="E221" i="279"/>
  <c r="F221" i="279"/>
  <c r="G221" i="279"/>
  <c r="H221" i="279"/>
  <c r="I221" i="279"/>
  <c r="M221" i="279" s="1"/>
  <c r="J221" i="279"/>
  <c r="K221" i="279"/>
  <c r="L221" i="279"/>
  <c r="N221" i="279"/>
  <c r="O221" i="279"/>
  <c r="E66" i="277"/>
  <c r="D66" i="277"/>
  <c r="H185" i="284" l="1"/>
  <c r="H242" i="284" s="1"/>
  <c r="K12" i="283"/>
  <c r="E12" i="283"/>
  <c r="E63" i="280"/>
  <c r="M26" i="280"/>
  <c r="F63" i="280"/>
  <c r="N26" i="280"/>
  <c r="J63" i="280"/>
  <c r="J316" i="280" s="1"/>
  <c r="G63" i="280"/>
  <c r="O26" i="280"/>
  <c r="L26" i="280"/>
  <c r="H26" i="280"/>
  <c r="H63" i="280" s="1"/>
  <c r="H316" i="280" s="1"/>
  <c r="L21" i="280"/>
  <c r="D40" i="280"/>
  <c r="L40" i="280" s="1"/>
  <c r="D49" i="280"/>
  <c r="L49" i="280" s="1"/>
  <c r="L74" i="280"/>
  <c r="L87" i="280"/>
  <c r="D225" i="280"/>
  <c r="L225" i="280" s="1"/>
  <c r="L282" i="280"/>
  <c r="M21" i="280"/>
  <c r="M38" i="280"/>
  <c r="M48" i="280"/>
  <c r="M57" i="280"/>
  <c r="M74" i="280"/>
  <c r="M87" i="280"/>
  <c r="M194" i="280"/>
  <c r="M282" i="280"/>
  <c r="L57" i="280"/>
  <c r="N74" i="280"/>
  <c r="N87" i="280"/>
  <c r="N194" i="280"/>
  <c r="N282" i="280"/>
  <c r="N21" i="280"/>
  <c r="N38" i="280"/>
  <c r="N48" i="280"/>
  <c r="N57" i="280"/>
  <c r="O21" i="280"/>
  <c r="O38" i="280"/>
  <c r="O48" i="280"/>
  <c r="O57" i="280"/>
  <c r="O74" i="280"/>
  <c r="O87" i="280"/>
  <c r="O194" i="280"/>
  <c r="O282" i="280"/>
  <c r="N14" i="259"/>
  <c r="M14" i="259"/>
  <c r="L14" i="259"/>
  <c r="K14" i="259"/>
  <c r="J14" i="259"/>
  <c r="I14" i="259"/>
  <c r="H14" i="259"/>
  <c r="G14" i="259"/>
  <c r="F14" i="259"/>
  <c r="E14" i="259"/>
  <c r="D14" i="259"/>
  <c r="G12" i="263"/>
  <c r="D63" i="280" l="1"/>
  <c r="E316" i="280"/>
  <c r="M316" i="280" s="1"/>
  <c r="M63" i="280"/>
  <c r="F316" i="280"/>
  <c r="N316" i="280" s="1"/>
  <c r="N63" i="280"/>
  <c r="G316" i="280"/>
  <c r="O316" i="280" s="1"/>
  <c r="O63" i="280"/>
  <c r="D305" i="280"/>
  <c r="L305" i="280" s="1"/>
  <c r="D316" i="280" l="1"/>
  <c r="L316" i="280" s="1"/>
  <c r="L63" i="280"/>
  <c r="D46" i="275" l="1"/>
  <c r="C46" i="275"/>
  <c r="B46" i="275"/>
  <c r="D38" i="275"/>
  <c r="C38" i="275"/>
  <c r="B38" i="275"/>
  <c r="D25" i="275"/>
  <c r="C25" i="275"/>
  <c r="B25" i="275"/>
  <c r="D17" i="275"/>
  <c r="D26" i="275" s="1"/>
  <c r="C17" i="275"/>
  <c r="C26" i="275" s="1"/>
  <c r="B17" i="275"/>
  <c r="B26" i="275" s="1"/>
  <c r="D47" i="275" l="1"/>
  <c r="C47" i="275"/>
  <c r="B47" i="275"/>
  <c r="E151" i="274"/>
  <c r="D151" i="274"/>
  <c r="D150" i="274"/>
  <c r="D149" i="274"/>
  <c r="D148" i="274"/>
  <c r="D146" i="274"/>
  <c r="D145" i="274"/>
  <c r="D140" i="274"/>
  <c r="E139" i="274"/>
  <c r="D139" i="274"/>
  <c r="D138" i="274"/>
  <c r="D137" i="274"/>
  <c r="D136" i="274"/>
  <c r="D135" i="274"/>
  <c r="D134" i="274"/>
  <c r="D133" i="274"/>
  <c r="D132" i="274"/>
  <c r="D131" i="274"/>
  <c r="D130" i="274"/>
  <c r="D129" i="274"/>
  <c r="D128" i="274"/>
  <c r="D127" i="274"/>
  <c r="D126" i="274"/>
  <c r="D125" i="274"/>
  <c r="D122" i="274"/>
  <c r="D121" i="274"/>
  <c r="D117" i="274"/>
  <c r="D115" i="274"/>
  <c r="D114" i="274"/>
  <c r="D113" i="274"/>
  <c r="D112" i="274"/>
  <c r="D111" i="274"/>
  <c r="D110" i="274"/>
  <c r="D109" i="274"/>
  <c r="D108" i="274"/>
  <c r="D107" i="274"/>
  <c r="D106" i="274"/>
  <c r="D105" i="274"/>
  <c r="D104" i="274"/>
  <c r="E103" i="274"/>
  <c r="D103" i="274" s="1"/>
  <c r="D152" i="274" s="1"/>
  <c r="D102" i="274"/>
  <c r="D101" i="274"/>
  <c r="D100" i="274"/>
  <c r="D99" i="274"/>
  <c r="D98" i="274"/>
  <c r="D95" i="274"/>
  <c r="D92" i="274"/>
  <c r="D90" i="274"/>
  <c r="D86" i="274"/>
  <c r="D84" i="274"/>
  <c r="D83" i="274"/>
  <c r="D82" i="274"/>
  <c r="D79" i="274"/>
  <c r="D75" i="274"/>
  <c r="D74" i="274"/>
  <c r="D73" i="274"/>
  <c r="D71" i="274"/>
  <c r="D70" i="274"/>
  <c r="D69" i="274"/>
  <c r="D68" i="274"/>
  <c r="D67" i="274"/>
  <c r="D66" i="274"/>
  <c r="D64" i="274"/>
  <c r="D63" i="274"/>
  <c r="D61" i="274"/>
  <c r="E60" i="274"/>
  <c r="D60" i="274"/>
  <c r="D59" i="274"/>
  <c r="D58" i="274"/>
  <c r="D57" i="274"/>
  <c r="D56" i="274"/>
  <c r="D55" i="274"/>
  <c r="D54" i="274"/>
  <c r="D53" i="274"/>
  <c r="D52" i="274"/>
  <c r="D50" i="274"/>
  <c r="D46" i="274"/>
  <c r="E45" i="274"/>
  <c r="E152" i="274" s="1"/>
  <c r="D45" i="274"/>
  <c r="D44" i="274"/>
  <c r="D43" i="274"/>
  <c r="D42" i="274"/>
  <c r="D41" i="274"/>
  <c r="D40" i="274"/>
  <c r="D39" i="274"/>
  <c r="D38" i="274"/>
  <c r="D37" i="274"/>
  <c r="D36" i="274"/>
  <c r="D33" i="274"/>
  <c r="D32" i="274"/>
  <c r="D31" i="274"/>
  <c r="D30" i="274"/>
  <c r="D29" i="274"/>
  <c r="D28" i="274"/>
  <c r="D26" i="274"/>
  <c r="D25" i="274"/>
  <c r="D24" i="274"/>
  <c r="D23" i="274"/>
  <c r="D20" i="274"/>
  <c r="D18" i="274"/>
  <c r="D17" i="274"/>
  <c r="D15" i="274"/>
  <c r="D14" i="274"/>
  <c r="D13" i="274"/>
  <c r="D12" i="274"/>
  <c r="D11" i="274"/>
  <c r="D10" i="274"/>
  <c r="D9" i="274"/>
  <c r="L24" i="272" l="1"/>
  <c r="K24" i="272"/>
  <c r="J24" i="272"/>
  <c r="I24" i="272"/>
  <c r="H24" i="272"/>
  <c r="G24" i="272"/>
  <c r="F24" i="272"/>
  <c r="E24" i="272"/>
  <c r="D24" i="272"/>
  <c r="C24" i="272"/>
  <c r="M23" i="272"/>
  <c r="M22" i="272"/>
  <c r="M21" i="272"/>
  <c r="M20" i="272"/>
  <c r="M24" i="272" s="1"/>
  <c r="L14" i="272"/>
  <c r="K14" i="272"/>
  <c r="J14" i="272"/>
  <c r="I14" i="272"/>
  <c r="H14" i="272"/>
  <c r="G14" i="272"/>
  <c r="F14" i="272"/>
  <c r="E14" i="272"/>
  <c r="C14" i="272"/>
  <c r="M13" i="272"/>
  <c r="M12" i="272"/>
  <c r="M11" i="272"/>
  <c r="M14" i="272" s="1"/>
  <c r="F21" i="269" l="1"/>
  <c r="F20" i="269"/>
  <c r="F19" i="269"/>
  <c r="F18" i="269"/>
  <c r="F17" i="269"/>
  <c r="E16" i="269"/>
  <c r="D16" i="269"/>
  <c r="C16" i="269"/>
  <c r="B16" i="269"/>
  <c r="F15" i="269"/>
  <c r="F14" i="269"/>
  <c r="F13" i="269"/>
  <c r="F12" i="269"/>
  <c r="E11" i="269"/>
  <c r="D11" i="269"/>
  <c r="C11" i="269"/>
  <c r="B11" i="269"/>
  <c r="F10" i="269"/>
  <c r="F9" i="269"/>
  <c r="E8" i="269"/>
  <c r="D8" i="269"/>
  <c r="C8" i="269"/>
  <c r="B8" i="269"/>
  <c r="F11" i="269" l="1"/>
  <c r="B23" i="269"/>
  <c r="F16" i="269"/>
  <c r="C23" i="269"/>
  <c r="F8" i="269"/>
  <c r="E23" i="269"/>
  <c r="D23" i="269"/>
  <c r="F23" i="269" l="1"/>
  <c r="O10" i="259" l="1"/>
  <c r="O11" i="259"/>
  <c r="O12" i="259"/>
  <c r="O13" i="259"/>
  <c r="C14" i="259"/>
  <c r="C18" i="259" s="1"/>
  <c r="D18" i="259"/>
  <c r="D21" i="259" s="1"/>
  <c r="G18" i="259"/>
  <c r="G21" i="259" s="1"/>
  <c r="I18" i="259"/>
  <c r="L18" i="259"/>
  <c r="L21" i="259" s="1"/>
  <c r="M18" i="259"/>
  <c r="F15" i="259"/>
  <c r="F18" i="259" s="1"/>
  <c r="K18" i="259"/>
  <c r="O16" i="259"/>
  <c r="O17" i="259"/>
  <c r="O19" i="259"/>
  <c r="I29" i="259"/>
  <c r="H29" i="259"/>
  <c r="O26" i="259"/>
  <c r="O27" i="259"/>
  <c r="O28" i="259"/>
  <c r="C29" i="259"/>
  <c r="D29" i="259"/>
  <c r="E29" i="259"/>
  <c r="F29" i="259"/>
  <c r="J29" i="259"/>
  <c r="K29" i="259"/>
  <c r="L29" i="259"/>
  <c r="M29" i="259"/>
  <c r="N29" i="259"/>
  <c r="O30" i="259"/>
  <c r="O31" i="259"/>
  <c r="O32" i="259"/>
  <c r="C33" i="259"/>
  <c r="D33" i="259"/>
  <c r="E33" i="259"/>
  <c r="F33" i="259"/>
  <c r="G33" i="259"/>
  <c r="H33" i="259"/>
  <c r="I33" i="259"/>
  <c r="J33" i="259"/>
  <c r="K33" i="259"/>
  <c r="L33" i="259"/>
  <c r="M33" i="259"/>
  <c r="N33" i="259"/>
  <c r="O34" i="259"/>
  <c r="O36" i="259"/>
  <c r="M35" i="259" l="1"/>
  <c r="M37" i="259" s="1"/>
  <c r="N35" i="259"/>
  <c r="N37" i="259" s="1"/>
  <c r="E35" i="259"/>
  <c r="E37" i="259" s="1"/>
  <c r="F35" i="259"/>
  <c r="F37" i="259" s="1"/>
  <c r="G29" i="259"/>
  <c r="G35" i="259" s="1"/>
  <c r="I35" i="259"/>
  <c r="I37" i="259" s="1"/>
  <c r="J35" i="259"/>
  <c r="J37" i="259" s="1"/>
  <c r="O33" i="259"/>
  <c r="O15" i="259"/>
  <c r="J18" i="259"/>
  <c r="J21" i="259" s="1"/>
  <c r="O25" i="259"/>
  <c r="H18" i="259"/>
  <c r="H21" i="259" s="1"/>
  <c r="K35" i="259"/>
  <c r="K37" i="259" s="1"/>
  <c r="C35" i="259"/>
  <c r="C38" i="259" s="1"/>
  <c r="O24" i="259"/>
  <c r="C21" i="259"/>
  <c r="O14" i="259"/>
  <c r="L35" i="259"/>
  <c r="L37" i="259" s="1"/>
  <c r="L39" i="259" s="1"/>
  <c r="H35" i="259"/>
  <c r="H37" i="259" s="1"/>
  <c r="D35" i="259"/>
  <c r="D37" i="259" s="1"/>
  <c r="D39" i="259" s="1"/>
  <c r="M21" i="259"/>
  <c r="M38" i="259"/>
  <c r="K21" i="259"/>
  <c r="F21" i="259"/>
  <c r="I21" i="259"/>
  <c r="E18" i="259" l="1"/>
  <c r="E21" i="259" s="1"/>
  <c r="E39" i="259" s="1"/>
  <c r="H39" i="259"/>
  <c r="J39" i="259"/>
  <c r="M39" i="259"/>
  <c r="I38" i="259"/>
  <c r="I39" i="259"/>
  <c r="O29" i="259"/>
  <c r="O35" i="259" s="1"/>
  <c r="O37" i="259" s="1"/>
  <c r="H38" i="259"/>
  <c r="F38" i="259"/>
  <c r="F39" i="259"/>
  <c r="L38" i="259"/>
  <c r="K39" i="259"/>
  <c r="K38" i="259"/>
  <c r="J38" i="259"/>
  <c r="G38" i="259"/>
  <c r="G37" i="259"/>
  <c r="G39" i="259" s="1"/>
  <c r="C37" i="259"/>
  <c r="C39" i="259" s="1"/>
  <c r="D38" i="259"/>
  <c r="E38" i="259" l="1"/>
  <c r="C40" i="259"/>
  <c r="D40" i="259" s="1"/>
  <c r="E40" i="259" s="1"/>
  <c r="F40" i="259" s="1"/>
  <c r="G40" i="259" s="1"/>
  <c r="H40" i="259" s="1"/>
  <c r="I40" i="259" s="1"/>
  <c r="J40" i="259" s="1"/>
  <c r="K40" i="259" s="1"/>
  <c r="L40" i="259" s="1"/>
  <c r="M40" i="259" s="1"/>
  <c r="O9" i="259" l="1"/>
  <c r="O18" i="259" s="1"/>
  <c r="O21" i="259" s="1"/>
  <c r="N18" i="259"/>
  <c r="N21" i="259" s="1"/>
  <c r="N40" i="259" l="1"/>
  <c r="O40" i="259" s="1"/>
  <c r="N39" i="259"/>
  <c r="O39" i="259" s="1"/>
  <c r="N38" i="259"/>
  <c r="O38" i="25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uthor>
  </authors>
  <commentList>
    <comment ref="E13" authorId="0" shapeId="0" xr:uid="{4433C9BF-5F49-4064-9F69-45AF565842FB}">
      <text>
        <r>
          <rPr>
            <b/>
            <sz val="9"/>
            <color indexed="81"/>
            <rFont val="Tahoma"/>
            <family val="2"/>
            <charset val="238"/>
          </rPr>
          <t>2020.12-2021.11. hó (12 hó)</t>
        </r>
      </text>
    </comment>
    <comment ref="D15" authorId="0" shapeId="0" xr:uid="{3FB96305-9A61-49DA-8CCC-F61FBBC1545A}">
      <text>
        <r>
          <rPr>
            <b/>
            <sz val="9"/>
            <color indexed="81"/>
            <rFont val="Tahoma"/>
            <family val="2"/>
            <charset val="238"/>
          </rPr>
          <t xml:space="preserve">2020.12.hó
2021.01-11. hó
</t>
        </r>
      </text>
    </comment>
    <comment ref="E15" authorId="0" shapeId="0" xr:uid="{AD845995-C2C9-4C0C-8A8F-55C666A719D3}">
      <text>
        <r>
          <rPr>
            <b/>
            <sz val="9"/>
            <color indexed="81"/>
            <rFont val="Tahoma"/>
            <family val="2"/>
            <charset val="238"/>
          </rPr>
          <t>Adri:</t>
        </r>
        <r>
          <rPr>
            <sz val="9"/>
            <color indexed="81"/>
            <rFont val="Tahoma"/>
            <family val="2"/>
            <charset val="238"/>
          </rPr>
          <t xml:space="preserve">
2020.12-2021.12.hó (13)</t>
        </r>
      </text>
    </comment>
    <comment ref="D53" authorId="0" shapeId="0" xr:uid="{9C3B9EFC-EBDE-45DA-AE16-F552D913407C}">
      <text>
        <r>
          <rPr>
            <b/>
            <sz val="9"/>
            <color indexed="81"/>
            <rFont val="Tahoma"/>
            <family val="2"/>
            <charset val="238"/>
          </rPr>
          <t>Adri:</t>
        </r>
        <r>
          <rPr>
            <sz val="9"/>
            <color indexed="81"/>
            <rFont val="Tahoma"/>
            <family val="2"/>
            <charset val="238"/>
          </rPr>
          <t xml:space="preserve">
21.12.: 112.415,-
22.01-11.: 11*100.600,-</t>
        </r>
      </text>
    </comment>
    <comment ref="E54" authorId="0" shapeId="0" xr:uid="{6EDB5408-CE45-4B24-9481-043376EB7300}">
      <text>
        <r>
          <rPr>
            <b/>
            <sz val="9"/>
            <color indexed="81"/>
            <rFont val="Tahoma"/>
            <family val="2"/>
            <charset val="238"/>
          </rPr>
          <t>2018.02.01-2020.12.31.</t>
        </r>
      </text>
    </comment>
    <comment ref="D64" authorId="0" shapeId="0" xr:uid="{C365C2B4-5A16-4CE8-95B8-933AAAE34E83}">
      <text>
        <r>
          <rPr>
            <b/>
            <sz val="9"/>
            <color indexed="81"/>
            <rFont val="Tahoma"/>
            <family val="2"/>
            <charset val="238"/>
          </rPr>
          <t>2021: 100.000/hó
2022: 150.000/hó
1*100.000
11*150.000</t>
        </r>
      </text>
    </comment>
    <comment ref="E64" authorId="0" shapeId="0" xr:uid="{723D2BA4-1054-4891-B64F-FB6B978C200A}">
      <text>
        <r>
          <rPr>
            <b/>
            <sz val="9"/>
            <color indexed="81"/>
            <rFont val="Tahoma"/>
            <family val="2"/>
            <charset val="238"/>
          </rPr>
          <t>Adri:</t>
        </r>
        <r>
          <rPr>
            <sz val="9"/>
            <color indexed="81"/>
            <rFont val="Tahoma"/>
            <family val="2"/>
            <charset val="238"/>
          </rPr>
          <t xml:space="preserve">
2021.01-11.hó</t>
        </r>
      </text>
    </comment>
    <comment ref="E70" authorId="0" shapeId="0" xr:uid="{10FE7AFE-9FFD-4EB5-8536-0D127BE89DE9}">
      <text>
        <r>
          <rPr>
            <b/>
            <sz val="9"/>
            <color indexed="81"/>
            <rFont val="Tahoma"/>
            <family val="2"/>
            <charset val="238"/>
          </rPr>
          <t>5*4.500,-</t>
        </r>
      </text>
    </comment>
    <comment ref="D83" authorId="0" shapeId="0" xr:uid="{D17164F2-4739-4476-9885-DA720E9B6D99}">
      <text>
        <r>
          <rPr>
            <b/>
            <sz val="9"/>
            <color indexed="81"/>
            <rFont val="Tahoma"/>
            <family val="2"/>
            <charset val="238"/>
          </rPr>
          <t>Adri:</t>
        </r>
        <r>
          <rPr>
            <sz val="9"/>
            <color indexed="81"/>
            <rFont val="Tahoma"/>
            <family val="2"/>
            <charset val="238"/>
          </rPr>
          <t xml:space="preserve">
25.400,-*12</t>
        </r>
      </text>
    </comment>
    <comment ref="D84" authorId="0" shapeId="0" xr:uid="{D0397125-ECDB-440C-9099-C2398DF63422}">
      <text>
        <r>
          <rPr>
            <b/>
            <sz val="9"/>
            <color indexed="81"/>
            <rFont val="Tahoma"/>
            <family val="2"/>
            <charset val="238"/>
          </rPr>
          <t>2020.12.hó
2021.01-11. hó</t>
        </r>
      </text>
    </comment>
    <comment ref="E84" authorId="0" shapeId="0" xr:uid="{9606A2A3-37B1-45E7-B43C-7B6FF8D15523}">
      <text>
        <r>
          <rPr>
            <b/>
            <sz val="9"/>
            <color indexed="81"/>
            <rFont val="Tahoma"/>
            <family val="2"/>
            <charset val="238"/>
          </rPr>
          <t>2020.12.hó         (1)
2021.01-02.hó   (2)
2021.04-11.hó   (8)</t>
        </r>
      </text>
    </comment>
    <comment ref="D102" authorId="0" shapeId="0" xr:uid="{5937CFAB-86A1-49D6-955A-10C85508BACA}">
      <text>
        <r>
          <rPr>
            <b/>
            <sz val="9"/>
            <color indexed="81"/>
            <rFont val="Tahoma"/>
            <family val="2"/>
            <charset val="238"/>
          </rPr>
          <t>Adri:</t>
        </r>
        <r>
          <rPr>
            <sz val="9"/>
            <color indexed="81"/>
            <rFont val="Tahoma"/>
            <family val="2"/>
            <charset val="238"/>
          </rPr>
          <t xml:space="preserve">
1.250.000,-+áfa/félév</t>
        </r>
      </text>
    </comment>
    <comment ref="D104" authorId="0" shapeId="0" xr:uid="{AE256EA2-548A-4C1F-B1C5-D57FF0CE8BD5}">
      <text>
        <r>
          <rPr>
            <b/>
            <sz val="9"/>
            <color indexed="81"/>
            <rFont val="Tahoma"/>
            <family val="2"/>
            <charset val="238"/>
          </rPr>
          <t>Adri:</t>
        </r>
        <r>
          <rPr>
            <sz val="9"/>
            <color indexed="81"/>
            <rFont val="Tahoma"/>
            <family val="2"/>
            <charset val="238"/>
          </rPr>
          <t xml:space="preserve">
2021.12.01-2022.05.31.</t>
        </r>
      </text>
    </comment>
    <comment ref="E104" authorId="0" shapeId="0" xr:uid="{B07C5D31-623D-4779-8D1A-5252E663840E}">
      <text>
        <r>
          <rPr>
            <b/>
            <sz val="9"/>
            <color indexed="81"/>
            <rFont val="Tahoma"/>
            <family val="2"/>
            <charset val="238"/>
          </rPr>
          <t>Adri:</t>
        </r>
        <r>
          <rPr>
            <sz val="9"/>
            <color indexed="81"/>
            <rFont val="Tahoma"/>
            <family val="2"/>
            <charset val="238"/>
          </rPr>
          <t xml:space="preserve">
2020.12.01-2021.11.30.</t>
        </r>
      </text>
    </comment>
    <comment ref="D105" authorId="0" shapeId="0" xr:uid="{9DC9AB41-3C3C-4708-8455-FC8C6E4F2303}">
      <text>
        <r>
          <rPr>
            <b/>
            <sz val="9"/>
            <color indexed="81"/>
            <rFont val="Tahoma"/>
            <family val="2"/>
            <charset val="238"/>
          </rPr>
          <t>Adri:</t>
        </r>
        <r>
          <rPr>
            <sz val="9"/>
            <color indexed="81"/>
            <rFont val="Tahoma"/>
            <family val="2"/>
            <charset val="238"/>
          </rPr>
          <t xml:space="preserve">
2021.12.01-2022.08.31.
</t>
        </r>
      </text>
    </comment>
    <comment ref="E105" authorId="0" shapeId="0" xr:uid="{FBFB6C7D-4A4F-4B48-BCB8-284DDDA61665}">
      <text>
        <r>
          <rPr>
            <b/>
            <sz val="9"/>
            <color indexed="81"/>
            <rFont val="Tahoma"/>
            <family val="2"/>
            <charset val="238"/>
          </rPr>
          <t>2020.12.01-2021.11.31</t>
        </r>
      </text>
    </comment>
    <comment ref="D106" authorId="0" shapeId="0" xr:uid="{1394A150-7094-4495-8786-A86E23E5BA3D}">
      <text>
        <r>
          <rPr>
            <b/>
            <sz val="9"/>
            <color indexed="81"/>
            <rFont val="Tahoma"/>
            <family val="2"/>
            <charset val="238"/>
          </rPr>
          <t>Adri:</t>
        </r>
        <r>
          <rPr>
            <sz val="9"/>
            <color indexed="81"/>
            <rFont val="Tahoma"/>
            <family val="2"/>
            <charset val="238"/>
          </rPr>
          <t xml:space="preserve">
2021.12.01-2022.01.31.</t>
        </r>
      </text>
    </comment>
    <comment ref="E106" authorId="0" shapeId="0" xr:uid="{DFCF2995-6343-4936-BDCB-41105B5DC4B0}">
      <text>
        <r>
          <rPr>
            <b/>
            <sz val="9"/>
            <color indexed="81"/>
            <rFont val="Tahoma"/>
            <family val="2"/>
            <charset val="238"/>
          </rPr>
          <t>2020.12.01-2021.11.31.</t>
        </r>
      </text>
    </comment>
    <comment ref="E110" authorId="0" shapeId="0" xr:uid="{3E3EFE34-DC2B-49A6-83B5-984026121AB6}">
      <text>
        <r>
          <rPr>
            <b/>
            <sz val="9"/>
            <color indexed="81"/>
            <rFont val="Tahoma"/>
            <family val="2"/>
            <charset val="238"/>
          </rPr>
          <t>Adri:</t>
        </r>
        <r>
          <rPr>
            <sz val="9"/>
            <color indexed="81"/>
            <rFont val="Tahoma"/>
            <family val="2"/>
            <charset val="238"/>
          </rPr>
          <t xml:space="preserve">
2021.I félév!</t>
        </r>
      </text>
    </comment>
    <comment ref="E111" authorId="0" shapeId="0" xr:uid="{7D9A561F-EE60-4CE8-A58C-A8052DD6736B}">
      <text>
        <r>
          <rPr>
            <b/>
            <sz val="9"/>
            <color indexed="81"/>
            <rFont val="Tahoma"/>
            <family val="2"/>
            <charset val="238"/>
          </rPr>
          <t>Adri:</t>
        </r>
        <r>
          <rPr>
            <sz val="9"/>
            <color indexed="81"/>
            <rFont val="Tahoma"/>
            <family val="2"/>
            <charset val="238"/>
          </rPr>
          <t xml:space="preserve">
21.01.01-06.30.</t>
        </r>
      </text>
    </comment>
    <comment ref="D123" authorId="0" shapeId="0" xr:uid="{4C9AD906-4C17-426D-821B-791521BD1EA0}">
      <text>
        <r>
          <rPr>
            <b/>
            <sz val="9"/>
            <color indexed="81"/>
            <rFont val="Tahoma"/>
            <family val="2"/>
            <charset val="238"/>
          </rPr>
          <t>pótmunka</t>
        </r>
      </text>
    </comment>
    <comment ref="E129" authorId="0" shapeId="0" xr:uid="{E127FB0D-EECD-438C-8A3D-8ADD5D1C51D5}">
      <text>
        <r>
          <rPr>
            <b/>
            <sz val="9"/>
            <color indexed="81"/>
            <rFont val="Tahoma"/>
            <family val="2"/>
            <charset val="238"/>
          </rPr>
          <t>Adri:</t>
        </r>
        <r>
          <rPr>
            <sz val="9"/>
            <color indexed="81"/>
            <rFont val="Tahoma"/>
            <family val="2"/>
            <charset val="238"/>
          </rPr>
          <t xml:space="preserve">
2021.12.hó (14 fő)</t>
        </r>
      </text>
    </comment>
    <comment ref="E130" authorId="0" shapeId="0" xr:uid="{722278D8-F47B-480D-BBF5-90EEA5288F09}">
      <text>
        <r>
          <rPr>
            <b/>
            <sz val="9"/>
            <color indexed="81"/>
            <rFont val="Tahoma"/>
            <family val="2"/>
            <charset val="238"/>
          </rPr>
          <t>Adri:</t>
        </r>
        <r>
          <rPr>
            <sz val="9"/>
            <color indexed="81"/>
            <rFont val="Tahoma"/>
            <family val="2"/>
            <charset val="238"/>
          </rPr>
          <t xml:space="preserve">
2021.12.hó</t>
        </r>
      </text>
    </comment>
    <comment ref="E139" authorId="0" shapeId="0" xr:uid="{1008C7EF-8834-42FF-9662-4F7A9AF66ADF}">
      <text>
        <r>
          <rPr>
            <b/>
            <sz val="9"/>
            <color indexed="81"/>
            <rFont val="Tahoma"/>
            <family val="2"/>
            <charset val="238"/>
          </rPr>
          <t>Adri:</t>
        </r>
        <r>
          <rPr>
            <sz val="9"/>
            <color indexed="81"/>
            <rFont val="Tahoma"/>
            <family val="2"/>
            <charset val="238"/>
          </rPr>
          <t xml:space="preserve">
20.10.01-21.12.31.</t>
        </r>
      </text>
    </comment>
    <comment ref="E140" authorId="0" shapeId="0" xr:uid="{0C747DDB-90D2-4D2D-A9A7-C6A9F025C87C}">
      <text>
        <r>
          <rPr>
            <b/>
            <sz val="9"/>
            <color indexed="81"/>
            <rFont val="Tahoma"/>
            <family val="2"/>
            <charset val="238"/>
          </rPr>
          <t>2018.04-06. hó
2019.12. hó
2020.01-12. hó</t>
        </r>
      </text>
    </comment>
    <comment ref="D148" authorId="0" shapeId="0" xr:uid="{785D6E91-5BF6-4F85-825A-61D0DF727982}">
      <text>
        <r>
          <rPr>
            <b/>
            <sz val="9"/>
            <color indexed="81"/>
            <rFont val="Tahoma"/>
            <family val="2"/>
            <charset val="238"/>
          </rPr>
          <t>Adri:</t>
        </r>
        <r>
          <rPr>
            <sz val="9"/>
            <color indexed="81"/>
            <rFont val="Tahoma"/>
            <family val="2"/>
            <charset val="238"/>
          </rPr>
          <t xml:space="preserve">
21.12.: 200.000,-
22.01-11.: 250.000,-*11</t>
        </r>
      </text>
    </comment>
    <comment ref="D150" authorId="0" shapeId="0" xr:uid="{2CDC5257-C76B-4D30-8F5A-361CA1A5ACCB}">
      <text>
        <r>
          <rPr>
            <b/>
            <sz val="9"/>
            <color indexed="81"/>
            <rFont val="Tahoma"/>
            <family val="2"/>
            <charset val="238"/>
          </rPr>
          <t>2022.01. hó: 20.000,-+áfa
szerz.: 2022.02.01-től 15.990,-+áfa/hó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Kovács Zoltán</author>
  </authors>
  <commentList>
    <comment ref="D81" authorId="0" shapeId="0" xr:uid="{6BE60344-CF1B-49A5-A118-0E78837DD855}">
      <text>
        <r>
          <rPr>
            <sz val="9"/>
            <color indexed="81"/>
            <rFont val="Tahoma"/>
            <family val="2"/>
            <charset val="238"/>
          </rPr>
          <t>Kossuth-szoborcsoportot és a lakótornyot összekötő gyalogos híd engedélyezési terve</t>
        </r>
      </text>
    </comment>
  </commentList>
</comments>
</file>

<file path=xl/sharedStrings.xml><?xml version="1.0" encoding="utf-8"?>
<sst xmlns="http://schemas.openxmlformats.org/spreadsheetml/2006/main" count="1752" uniqueCount="1080">
  <si>
    <t>1. Informatikai eszközök, szoftverek beszerzése</t>
  </si>
  <si>
    <t>2.1. Dombóvári Város- és Lakásgazdálkodási Nkft. tagi kölcsön</t>
  </si>
  <si>
    <t>Kölcsönök visszatérülése</t>
  </si>
  <si>
    <t xml:space="preserve"> </t>
  </si>
  <si>
    <t xml:space="preserve">Önkormányzat </t>
  </si>
  <si>
    <t>Cím</t>
  </si>
  <si>
    <t>Alcím</t>
  </si>
  <si>
    <t>Cím neve</t>
  </si>
  <si>
    <t>I.</t>
  </si>
  <si>
    <t>IV.</t>
  </si>
  <si>
    <t>101. cím összesen:</t>
  </si>
  <si>
    <t>104. cím összesen:</t>
  </si>
  <si>
    <t>105. cím összesen:</t>
  </si>
  <si>
    <t>II.</t>
  </si>
  <si>
    <t>III.</t>
  </si>
  <si>
    <t>1. Tárgyi eszköz, ingatlanértékesítés</t>
  </si>
  <si>
    <t>V.</t>
  </si>
  <si>
    <t>Mindösszesen:</t>
  </si>
  <si>
    <t>103. cím összesen:</t>
  </si>
  <si>
    <t>VI.</t>
  </si>
  <si>
    <t>Felújítások</t>
  </si>
  <si>
    <t>VII.</t>
  </si>
  <si>
    <t>Személyi juttatások</t>
  </si>
  <si>
    <t>Kiadás összesen</t>
  </si>
  <si>
    <t>Összesen:</t>
  </si>
  <si>
    <t>eFt</t>
  </si>
  <si>
    <t>összesen:</t>
  </si>
  <si>
    <t>Dologi kiadások</t>
  </si>
  <si>
    <t>Önkormányzat költségvetési támogatása</t>
  </si>
  <si>
    <t>VIII.</t>
  </si>
  <si>
    <t>102. cím összesen:</t>
  </si>
  <si>
    <t>Önkormányzat</t>
  </si>
  <si>
    <t>1. Polgármesteri keret</t>
  </si>
  <si>
    <t>1. Helyi önkormányzat általános működésének és ágazati feladatainak támogatása</t>
  </si>
  <si>
    <t>I. alcím összesen:</t>
  </si>
  <si>
    <t>II. alcím összesen:</t>
  </si>
  <si>
    <t>III. alcím összesen:</t>
  </si>
  <si>
    <t>IV. alcím összesen:</t>
  </si>
  <si>
    <t>VI. alcím összesen:</t>
  </si>
  <si>
    <t>VII. alcím összesen:</t>
  </si>
  <si>
    <t>VIII. alcím összesen:</t>
  </si>
  <si>
    <t>KÖH Dombóvár</t>
  </si>
  <si>
    <t>kötelező
feladat</t>
  </si>
  <si>
    <t>önként vállalt
feladat</t>
  </si>
  <si>
    <t>eredeti ei.</t>
  </si>
  <si>
    <t>Integrált Önkormányzati Szolgáltató Szervezet</t>
  </si>
  <si>
    <t>Dombóvári Közös Önkormányzati Hivatal</t>
  </si>
  <si>
    <t>104. cím összesen</t>
  </si>
  <si>
    <t>Ellátottak pénzbeli juttatásai</t>
  </si>
  <si>
    <t>Egyéb működési célú kiadások</t>
  </si>
  <si>
    <t>Beruházások</t>
  </si>
  <si>
    <t>Egyéb felhalmozási célú kiadások</t>
  </si>
  <si>
    <t>Beruházások összesen:</t>
  </si>
  <si>
    <t>1. Egyéb működési célú támogatások államháztartáson belülre</t>
  </si>
  <si>
    <t>2. Egyéb működési célú támogatások államháztartáson kívülre</t>
  </si>
  <si>
    <t>Munkaadókat terh. járulékok és szoc. hozzájár. adó</t>
  </si>
  <si>
    <t>V. alcím összesen:</t>
  </si>
  <si>
    <t>4. Általános tartalék</t>
  </si>
  <si>
    <t>Átvett pénzeszközök</t>
  </si>
  <si>
    <t>Közhatalmi bevételek</t>
  </si>
  <si>
    <t>1. Felhalmozási célú kölcsönök visszatérülése</t>
  </si>
  <si>
    <t>1. Helyi adók</t>
  </si>
  <si>
    <t>VI. alcím összesen</t>
  </si>
  <si>
    <t>IX.</t>
  </si>
  <si>
    <t>3. Céltartalék felhalmozási célú</t>
  </si>
  <si>
    <t>3. Céltartalék működési célú</t>
  </si>
  <si>
    <t>Felhalmozási bevételek</t>
  </si>
  <si>
    <t>1.2. Építményadó</t>
  </si>
  <si>
    <t>1.3. Idegenforgalmi adó</t>
  </si>
  <si>
    <t>1.1. Magánszemélyek kommunális adója</t>
  </si>
  <si>
    <t>1.4. Iparűzési adó</t>
  </si>
  <si>
    <t>1. Működési célú átvett pénzeszközök államháztartáson kívülről</t>
  </si>
  <si>
    <t>2. Felhalmozási célú átvett pénzeszközök államháztartáson kívülről</t>
  </si>
  <si>
    <t>2. Működési célú kölcsönök visszatérülése</t>
  </si>
  <si>
    <t>1. Egyéb felhalmozási célú támogatások államháztartáson belülre</t>
  </si>
  <si>
    <t>2. Egyéb felhalmozási célú támogatások államháztartáson kívülre</t>
  </si>
  <si>
    <t>KÖH Szakcsi Kirendeltsége</t>
  </si>
  <si>
    <t>Munkaadókat terhelő járulékok és szociális hozzájárulási adó</t>
  </si>
  <si>
    <t>1.1. Működési hitel</t>
  </si>
  <si>
    <t>1.2. Beruházási hitel</t>
  </si>
  <si>
    <t>1.3. Likvid hitel</t>
  </si>
  <si>
    <t>Finanszírozási kiadások</t>
  </si>
  <si>
    <t>1. Hitelek, kölcsönök törlesztése</t>
  </si>
  <si>
    <t>2. Államháztartáson belüli megelőlegezések visszafizetése</t>
  </si>
  <si>
    <t>2. Intézményi vagyonbiztosítás és felelősségbiztosítás</t>
  </si>
  <si>
    <t>1. Települési támogatás</t>
  </si>
  <si>
    <t>1.1. Lakhatáshoz kapcsolódó rendszeres kiadások viseléséhez</t>
  </si>
  <si>
    <t>2. Köztemetés</t>
  </si>
  <si>
    <t>3. Kiegészítő gyermekvédelmi támogatás</t>
  </si>
  <si>
    <t>Működési bevételek</t>
  </si>
  <si>
    <t>1. Dombóvár</t>
  </si>
  <si>
    <t>2. Szakcsi Kirendeltség</t>
  </si>
  <si>
    <t>2. Önkormányzati vagyon bérbeadás</t>
  </si>
  <si>
    <t>2.1. Víziközmű bérleti díj</t>
  </si>
  <si>
    <t>2.1.1. Szennyvízhálózat</t>
  </si>
  <si>
    <t>2.1.2. Ivóvízhálózat</t>
  </si>
  <si>
    <t>1.4. Közös Önkormányzati Hivatal működtetéséhez hozzájárulás</t>
  </si>
  <si>
    <t>1.4.1. Közös Önkormányzati Hivatal működtetéséhez hozzájárulás Szakcs</t>
  </si>
  <si>
    <t>1.4.2. Közös Önkormányzati Hivatal működtetéséhez hozzájárulás Lápafő</t>
  </si>
  <si>
    <t>1.4.3. Közös Önkormányzati Hivatal működtetéséhez hozzájárulás Várong</t>
  </si>
  <si>
    <t>1.1. Lakásszerzési támogatás, szociális kölcsön</t>
  </si>
  <si>
    <t>Működési és fejlesztési célú bevételek és kiadások mérlege</t>
  </si>
  <si>
    <t>Bevételek megnevezése</t>
  </si>
  <si>
    <t>Kiadások megnevezése</t>
  </si>
  <si>
    <t>Intézményi működési bevételek</t>
  </si>
  <si>
    <t>Munkaadókat terh. jár. és szoc. hozzáj. adó</t>
  </si>
  <si>
    <t>Állami hozzájárulások és támogatások</t>
  </si>
  <si>
    <t>Működési célú kölcsönök visszatérülése</t>
  </si>
  <si>
    <t>Rövidlejáratú hitel visszafizetése</t>
  </si>
  <si>
    <t>Működési célú maradvány</t>
  </si>
  <si>
    <t>Működési célú hitelfelvétel</t>
  </si>
  <si>
    <t>Működési célú kölcsönnyújtás</t>
  </si>
  <si>
    <t>Államháztartáson belüli megelőlegezések</t>
  </si>
  <si>
    <t>Céltartalék, általános tartalék (működési)</t>
  </si>
  <si>
    <t>Működési célú bevételek összesen:</t>
  </si>
  <si>
    <t>Működési célú kiadások összesen:</t>
  </si>
  <si>
    <t>Felhalmozási célú támogatás államháztartáson belülről</t>
  </si>
  <si>
    <t>Felhalmozási célú kölcsönök visszatérülése</t>
  </si>
  <si>
    <t>Felhalmozási célú maradvány</t>
  </si>
  <si>
    <t>Felhalmozási célú hitelfelvétel</t>
  </si>
  <si>
    <t>Felhalmozási célú kölcsönnyújtás</t>
  </si>
  <si>
    <t>Felhalmozási célú bevételek összesen:</t>
  </si>
  <si>
    <t>Felhalmozási célú kiadások összesen:</t>
  </si>
  <si>
    <t>Önkormányzati bevételek</t>
  </si>
  <si>
    <t>Önkormányzati kiadások</t>
  </si>
  <si>
    <t>Államháztartáson belüli megelőleg. visszafizetése</t>
  </si>
  <si>
    <t>Felújítások összesen:</t>
  </si>
  <si>
    <t>Felhalmozási célú hitel törlesztés</t>
  </si>
  <si>
    <t>3. Foglalkoztatás eü. szolg.</t>
  </si>
  <si>
    <t>4. Intézményi gáz</t>
  </si>
  <si>
    <t>5. Város- és községgazdálkodás</t>
  </si>
  <si>
    <t>1.1. Ingatlanok értékesítése</t>
  </si>
  <si>
    <t>1.2. Biztos Kezdet Gyerekház működtetésére</t>
  </si>
  <si>
    <t>1.3. Fogorvosi rendelő fenntartásához hozzájárulás</t>
  </si>
  <si>
    <t>1. Kisértékű tárgyi eszköz beszerzés</t>
  </si>
  <si>
    <t>1.1. Nemzeti Egészségbiztosítási Alapkezelőtől finanszírozás (védőnői ellátás, iskola eü.)</t>
  </si>
  <si>
    <t>1.2. Integrált Önkormányzati Szolgáltató Szervezet</t>
  </si>
  <si>
    <t>2.2. Integrált Önkormányzati Szolgáltató Szervezet</t>
  </si>
  <si>
    <t>2.4. Dombóvári Közös Önkormányzati Hivatal</t>
  </si>
  <si>
    <t>Céltartalék (felhalmozási)</t>
  </si>
  <si>
    <t>Egyéb felhalmozási célú kiadások Áht-n belülre, Áht-n kívülre</t>
  </si>
  <si>
    <t>Egyéb működési célú kiadások Áht-n belülre, Áht-n kívülre</t>
  </si>
  <si>
    <t>1. Működési célú maradvány</t>
  </si>
  <si>
    <t>2. Felhalmozási célú maradvány</t>
  </si>
  <si>
    <t>Felhalmozási célú állami támogatás</t>
  </si>
  <si>
    <t>1.1. Általános feladatok támogatása (B111)</t>
  </si>
  <si>
    <t>1.2. Egyes köznevelési feladatok támogatása (B112)</t>
  </si>
  <si>
    <t>1.3. Szociális, gyermekjóléti és gyermekétkeztetési feladatok támogatása (B113)</t>
  </si>
  <si>
    <t>1.4. Kulturális feladatok támogatása (B114)</t>
  </si>
  <si>
    <t>Európai Uniós támogatással megvalósuló programok, projektek bevételei, kiadásai</t>
  </si>
  <si>
    <t>Bevételek</t>
  </si>
  <si>
    <t>Ft</t>
  </si>
  <si>
    <t>szám</t>
  </si>
  <si>
    <t>azonosító</t>
  </si>
  <si>
    <t>program, projekt neve</t>
  </si>
  <si>
    <t>Összesen</t>
  </si>
  <si>
    <t xml:space="preserve">támogatás </t>
  </si>
  <si>
    <t>TOP-5.2.1-15-TL1-2016-00001</t>
  </si>
  <si>
    <t>A dombóvári Mászlony szegregátumban élők társadalmi integrációjának helyi szintű komplex programja</t>
  </si>
  <si>
    <t>TOP-5.2.1-15-TL1-2016-00003</t>
  </si>
  <si>
    <t>A dombóvári Kakasdomb-Erzsébet utca szegregációval veszélyeztetett területén élők társadalmi integrációjának helyi szintű komplex programja</t>
  </si>
  <si>
    <t>TOP-5.2.1-15-TL1-2016-00002</t>
  </si>
  <si>
    <t>A dombóvári Szigetsor-Vasút szegregátumban élők társadalmi integrációjának helyi szintű komplex programja</t>
  </si>
  <si>
    <t>EFOP-3.9.2-16-2017-00047</t>
  </si>
  <si>
    <t>Humán kapacitások fejlesztése a Dombóvári járásban</t>
  </si>
  <si>
    <t>EFOP-1.5.3-16-2017-00063</t>
  </si>
  <si>
    <t>Humán szolgáltatások fejlesztése a Dombóvári járásban</t>
  </si>
  <si>
    <t>TOP-4.3.1-15-TL1-2016-00003</t>
  </si>
  <si>
    <t>A dombóvári Szigetsor-Vasút szegregátumok rehabilitációja</t>
  </si>
  <si>
    <t>Bevételek összesen:</t>
  </si>
  <si>
    <t>Kiadások</t>
  </si>
  <si>
    <t>kiadás</t>
  </si>
  <si>
    <t>személyi</t>
  </si>
  <si>
    <t>járulék</t>
  </si>
  <si>
    <t>dologi kiadások (szolgáltatások)</t>
  </si>
  <si>
    <t>eszközbeszerzés</t>
  </si>
  <si>
    <t>felújítás</t>
  </si>
  <si>
    <t>tartalék</t>
  </si>
  <si>
    <t>Kiadások összesen:</t>
  </si>
  <si>
    <t>önkormányzati saját forrás</t>
  </si>
  <si>
    <t>Több éves kihatással járó döntések számszerűsítése</t>
  </si>
  <si>
    <t>Rövid lejáratú  hitelek, kölcsönök törlesztése</t>
  </si>
  <si>
    <t>Sorsz.</t>
  </si>
  <si>
    <t>Megnevezés</t>
  </si>
  <si>
    <t>Hitelfelvétel</t>
  </si>
  <si>
    <t>2021.</t>
  </si>
  <si>
    <t>2022.</t>
  </si>
  <si>
    <t>2023.</t>
  </si>
  <si>
    <t>2024.</t>
  </si>
  <si>
    <t>1.</t>
  </si>
  <si>
    <t>2.</t>
  </si>
  <si>
    <t>3.</t>
  </si>
  <si>
    <t>Hosszú lejáratú beruházási hitelek törlesztése</t>
  </si>
  <si>
    <t>Törlesztések évente</t>
  </si>
  <si>
    <t>4.</t>
  </si>
  <si>
    <t>OTP célhitel beruházásokra (1-2-18-4600-0174-4)</t>
  </si>
  <si>
    <t>2025.</t>
  </si>
  <si>
    <t>előirányzata</t>
  </si>
  <si>
    <t>Családalapítási támogatás</t>
  </si>
  <si>
    <t>Szociális, jóléti, kulturális  juttatások</t>
  </si>
  <si>
    <t>Egészségügyi juttatás (védőszemüveg)</t>
  </si>
  <si>
    <t>TOP-4.3.1-15-TL1-2016-00002</t>
  </si>
  <si>
    <t>Mászlony - oázis az agrársivatagban</t>
  </si>
  <si>
    <t>támogatás</t>
  </si>
  <si>
    <t>TOP-4.3.1-15-TL1-2016-00004</t>
  </si>
  <si>
    <t>DARK - Dombóvári Akcióterületi Rehabilitáció Kakasdomb-Erzsébet uztca szegregációval veszélyeztetett területen</t>
  </si>
  <si>
    <t xml:space="preserve">kiadás </t>
  </si>
  <si>
    <t>DRV</t>
  </si>
  <si>
    <t>Garancia és kezességvállalás (függő)</t>
  </si>
  <si>
    <t>Kezesség típusa</t>
  </si>
  <si>
    <t>Kezességvállalás mértéke/hitelkeret
eFt</t>
  </si>
  <si>
    <t>Kezességvállalás kezdete</t>
  </si>
  <si>
    <t>Kezességvállalás időtartama/ lejárata</t>
  </si>
  <si>
    <t>Dombóvár Város Önkormányzatának költségvetési mérlege</t>
  </si>
  <si>
    <t>Helyi adók</t>
  </si>
  <si>
    <t>Gépjárműadó</t>
  </si>
  <si>
    <t>Egyéb központi adók</t>
  </si>
  <si>
    <t>Egyéb közhatalmi bevételek</t>
  </si>
  <si>
    <t>Kölcsön visszatérülés</t>
  </si>
  <si>
    <t>Működési célú bevételek összesen</t>
  </si>
  <si>
    <t>Fejlesztési célú állami támogatás</t>
  </si>
  <si>
    <t>Felhalmozási célú pénzeszköz átvétel</t>
  </si>
  <si>
    <t>Felhalmozási célú kölcsön visszatérülés</t>
  </si>
  <si>
    <t>Felhalmozási célú hitel igénybevétele</t>
  </si>
  <si>
    <t>Felhalmozási célú bevétel összesen:</t>
  </si>
  <si>
    <t>Bevétel összesen:</t>
  </si>
  <si>
    <t>Működési célú pénzeszköz átadás, egyéb tám.</t>
  </si>
  <si>
    <t>Ellátottak pénzbeli juttatása</t>
  </si>
  <si>
    <t>Rövid lejáratú hitel visszafizetés</t>
  </si>
  <si>
    <t>Rövid lejáratú hitel kamat</t>
  </si>
  <si>
    <t>Céltartalék működési, általános tartalék</t>
  </si>
  <si>
    <t>Működési kiadás összesen</t>
  </si>
  <si>
    <t>Felújítási kiadások</t>
  </si>
  <si>
    <t>Felhalmozási célú pénzeszköz átadás</t>
  </si>
  <si>
    <t>Felhalmozási célú hitel visszafizetés</t>
  </si>
  <si>
    <t>Hosszú lejáratú hitel kamata</t>
  </si>
  <si>
    <t>Felhalmozási célú kölcsön nyújtás</t>
  </si>
  <si>
    <t>Céltartalék</t>
  </si>
  <si>
    <t>Felhalmozási kiadások összesen:</t>
  </si>
  <si>
    <t>Törlesztés
összesen</t>
  </si>
  <si>
    <t>Az önkormányzat által nyújtott közvetett támogatások</t>
  </si>
  <si>
    <t>Támogatás kedvezményezettje</t>
  </si>
  <si>
    <t>jellege</t>
  </si>
  <si>
    <t>várható összege (eFt)</t>
  </si>
  <si>
    <t>65 év feletti adózók</t>
  </si>
  <si>
    <t>kommunális adó kedvezmény (50%)</t>
  </si>
  <si>
    <t>70 év feletti adózók</t>
  </si>
  <si>
    <t>kommunális adó mentesség</t>
  </si>
  <si>
    <t>Vállalkozó akinek adóalapja nem haladja meg a 2,5 millió forintot</t>
  </si>
  <si>
    <t>iparűzési adómentesség</t>
  </si>
  <si>
    <t>Magánszemélyek (akik legfeljebb 8 szobás és legfeljebb 16 ágyszámmal rendelkező szálláshelyen töltenek el vendégéjszakát)</t>
  </si>
  <si>
    <t>idegenforgalmi adó mentesség</t>
  </si>
  <si>
    <t>Gyermekétkeztetés</t>
  </si>
  <si>
    <t>térítési díj kedvezmény (10%)</t>
  </si>
  <si>
    <t>Sportszervezetek, nemzetiségi önkormányzatok, önkormányzat gazdasági társaságai</t>
  </si>
  <si>
    <t>térítésmentes bérlet</t>
  </si>
  <si>
    <t>I. Helyi adónál biztosított kedvezmény, mentesség</t>
  </si>
  <si>
    <t>Az építményadóról szóló 41/2015. (XII. 1.) önkormányzati rendelet</t>
  </si>
  <si>
    <t>A Gunaras-fürdő területén található, az ingatlan-nyilvántartásban üdülő, hétvégi ház megnevezéssel nyilvántartott építmény utáni építményadó-fizetési kötelezettségét illetően adókedvezmény iránti kérelemmel élhet az adóhatóság felé az a magánszemély, aki az építmény tulajdonosa vagy az építményt terhelő vagyoni értékű jog jogosítottja, amennyiben az építményben egyedül vagy hozzátartozójával együtt életvitelszerűen lakik.</t>
  </si>
  <si>
    <t>A magánszemélyek kommunális adójáról, az idegenforgalmi adóról és a helyi iparűzési adóról szóló 40/2015. (XII. 1.) önkormányzati rendelet</t>
  </si>
  <si>
    <t>Magánszemélyek kommunális adójánál</t>
  </si>
  <si>
    <t>A lakás után fizetendő magánszemélyek kommunális adója alól mentes az a magánszemély, aki a 70. életévét betöltötte. 50 %-os adókedvezmény illeti meg azt a magánszemélyt, aki a 65. életévét betöltötte.</t>
  </si>
  <si>
    <t>A használatbavételi engedély kiadását követő évtől számítva 2 évig mentes a magánszemélyek kommunális adófizetési kötelezettsége alól az a magánszemély, aki új építésű családi házat épít.</t>
  </si>
  <si>
    <t>Idegenforgalmi adónál</t>
  </si>
  <si>
    <t>Mentes a magánszemély az idegenforgalmi adó megfizetése alól a Htv. 31. §-ban foglaltakon túl a szálláshely-szolgáltatási tevékenység folytatásának részletes feltételeiről és szálláshely-üzemeltetési engedély kiadásának rendjéről szóló 239/2009. (X. 20.) Korm. rendelet 2. § h) pontja alá tartozó szálláshelyen eltöltött vendégéjszaka után.</t>
  </si>
  <si>
    <t>Iparűzési adónál</t>
  </si>
  <si>
    <t>Adómentesség illeti meg a vállalkozót, ha a Htv. 39. § (1) bekezdése, illetőleg a 39/A. §-a vagy 39/B §-a alapján számított (vállalkozási szintű) adóalapja nem haladja meg a 2,5 millió Ft-ot.</t>
  </si>
  <si>
    <t>A mentesség pontos összegét és az adóalanyok számát az iparűzési adóbevallások május 31-éig esedékes beküldése után pontosítja az önkormányzat.</t>
  </si>
  <si>
    <t>II. Térítési díjaknál biztosított kedvezmények</t>
  </si>
  <si>
    <t>A gyermekvédelem helyi szabályozásáról szóló 12/2006. (II.20.) rendelet alapján az önkormányzat 10% kedvezményt biztosít a gyermekétkeztetés személyi térítési díjából a Dombóvár város közigazgatási területén lakóhellyel, ennek hiányában tartózkodási hellyel rendelkező gyermek esetében, aki a Gyvt. 21/B §-a alapján normatív kedvezményre nem jogosult.</t>
  </si>
  <si>
    <t>III. Helyiségek, eszközök hasznosításából származó bevételből nyújtott kedvezmény, mentesség összege</t>
  </si>
  <si>
    <t>támogatásról szóló döntés száma</t>
  </si>
  <si>
    <t>ingatlan megnevezése</t>
  </si>
  <si>
    <t>támogatás kedvezményezettje</t>
  </si>
  <si>
    <t xml:space="preserve">Dombóvári Tenisz Egyesület </t>
  </si>
  <si>
    <t>Dombóvári Német Nemzetiségi Önkormányzat, Dombóvári Horvát Nemzetiségi Önkormányzat</t>
  </si>
  <si>
    <t>Dombóvári Kutyás Egyesület</t>
  </si>
  <si>
    <t>1. hó</t>
  </si>
  <si>
    <t>2. hó</t>
  </si>
  <si>
    <t>3. hó</t>
  </si>
  <si>
    <t>4. hó</t>
  </si>
  <si>
    <t>5. hó</t>
  </si>
  <si>
    <t>6. hó</t>
  </si>
  <si>
    <t>7. hó</t>
  </si>
  <si>
    <t>8. hó</t>
  </si>
  <si>
    <t>9. hó</t>
  </si>
  <si>
    <t>10. hó</t>
  </si>
  <si>
    <t>11. hó</t>
  </si>
  <si>
    <t>12. hó</t>
  </si>
  <si>
    <t>Intézményi működési bevétel</t>
  </si>
  <si>
    <t xml:space="preserve">  ebből helyi adó</t>
  </si>
  <si>
    <t>Átvett pénzeszközök, támogatás államháztartáson belülről</t>
  </si>
  <si>
    <t xml:space="preserve">  ebből működésre</t>
  </si>
  <si>
    <t xml:space="preserve">  ebből fejlesztésre</t>
  </si>
  <si>
    <t>Bevételek együtt (1+…+6)</t>
  </si>
  <si>
    <t>Finanszírozási műveletek (hitel, maradvány igénybevétele)</t>
  </si>
  <si>
    <t>Összes bevétel (7+8)</t>
  </si>
  <si>
    <t>Személyi juttatás</t>
  </si>
  <si>
    <t>Munkaadókat terhelő járulék</t>
  </si>
  <si>
    <t>Dologi kiadás</t>
  </si>
  <si>
    <t>Egyéb működési célú kiadás</t>
  </si>
  <si>
    <t>Működési kiadások (10+…+14)</t>
  </si>
  <si>
    <t>Egyéb felhalmozási kiadás</t>
  </si>
  <si>
    <t>Felhalmozási kiadás (16+17+18)</t>
  </si>
  <si>
    <t>Céltartalék, általános tartalék</t>
  </si>
  <si>
    <t>Kiadások együtt (15+19+20)</t>
  </si>
  <si>
    <t>Finanszírozási műveletek (hiteltörl., Áht-n belüli megelőleg. visszafiz.)</t>
  </si>
  <si>
    <t>Összes kiadás (21+22)</t>
  </si>
  <si>
    <t>7-21 eltérése (+/-)</t>
  </si>
  <si>
    <t>9-23 eltérése (+/-)</t>
  </si>
  <si>
    <t>Záró pénzkészlet</t>
  </si>
  <si>
    <t>Műkö-  dési  bevétel</t>
  </si>
  <si>
    <t>Felhalmozási bevétel</t>
  </si>
  <si>
    <t>Állami támogatás + NEAK</t>
  </si>
  <si>
    <t>Önk. tám.</t>
  </si>
  <si>
    <t>Int.fin.</t>
  </si>
  <si>
    <t>Integrált Önkormányzati Szolg. Szerv.</t>
  </si>
  <si>
    <t>2.1. Tinódi Ház Nkft. működésére</t>
  </si>
  <si>
    <t>Dombóvári Focisuli Egyesület</t>
  </si>
  <si>
    <t>Azok a magánszemélyek, akik az ingatlanuk előtt önerőből járdafelújítást végeznek, kérelemre 2 éves időtartamra 50 %-os kommunális adókedvezményt vehetnek igénybe.</t>
  </si>
  <si>
    <t>Dombóvár Város Önkormányzata intézményeinek</t>
  </si>
  <si>
    <t>Intézmény megnevezése</t>
  </si>
  <si>
    <t>Engedélyezett létszám (fő)</t>
  </si>
  <si>
    <t>Szakmai létszám</t>
  </si>
  <si>
    <t>Nevelő munát közvetlenül segítők</t>
  </si>
  <si>
    <t>Technikai létszám</t>
  </si>
  <si>
    <t>Megváltozott
munkaképességű
dolgozók</t>
  </si>
  <si>
    <t>Ft-ban</t>
  </si>
  <si>
    <t>Szerződő fél</t>
  </si>
  <si>
    <t>Tárgy</t>
  </si>
  <si>
    <t>Lejárat/ teljesítési határidő</t>
  </si>
  <si>
    <t>ABACUS Számítástechnikai Bt.</t>
  </si>
  <si>
    <t>WinSzoc szoftver jogszabálykövetése</t>
  </si>
  <si>
    <t>határozatlan</t>
  </si>
  <si>
    <t>Allianz Hungária Biztosító RT</t>
  </si>
  <si>
    <t>TAKARNET adatátv.hálózathoz-hálózati díj és tuladoni lap más</t>
  </si>
  <si>
    <t xml:space="preserve">lekérdezés alapján havonta </t>
  </si>
  <si>
    <t>e-hiteles tuljadoni lap más.,nem hiteles térképmás...-Szakcs</t>
  </si>
  <si>
    <t>Daemia Kft.</t>
  </si>
  <si>
    <t>vírusirtó program Linux operációs rendszer</t>
  </si>
  <si>
    <t>Kaspersky vírus-és spam védelem-licensz</t>
  </si>
  <si>
    <t>Dr. Hegedűs és Társa Egészségügyi és Szolg. Bt.</t>
  </si>
  <si>
    <t>üzemorvos-Szakcs</t>
  </si>
  <si>
    <t>vízdíj-hivatal, Szakcs</t>
  </si>
  <si>
    <t>E.ON Energiaszolgáltató Kft.</t>
  </si>
  <si>
    <t>gáz-Szabadság u. 18. (városháza)</t>
  </si>
  <si>
    <t>EURO-PROFIL Kft.</t>
  </si>
  <si>
    <t>Konica Minolta Bizhub 420 fénymásológép üzemeltetése (P1419)</t>
  </si>
  <si>
    <t>Konica Minolta Bizhub 227 fénymásológép üzemeltetése (P1683)</t>
  </si>
  <si>
    <t>Konica Minolta Bizhub 423 fénymásológép üzemeltetése (P1593)</t>
  </si>
  <si>
    <t>Konica Minolta Bizhub C224 fénymásológép üzemeltetése (P1586)</t>
  </si>
  <si>
    <t>Konica Minolta Bizhub C454e fénymásoló űzemeltetése (P2509)</t>
  </si>
  <si>
    <t>Konica Minolta Bizhub C454eH fénymásoló űzemeltetése (P2573)</t>
  </si>
  <si>
    <t>Fleetcor Kft (volt SHELL HUNGARY ZRT)</t>
  </si>
  <si>
    <t>üzemanyag, kártyadíj</t>
  </si>
  <si>
    <t>GOND-X Biztonságtechnikai és Kereskedelmi Kft.</t>
  </si>
  <si>
    <t>Távfelügy, készenlét és karb.-Bezerédj u. 14.</t>
  </si>
  <si>
    <t>hivatali diszpécser szolgálat-Szent I. tér 1.</t>
  </si>
  <si>
    <t>bizt.techn távfelügy., műszaki készenlét és karb.-Szab. 18.</t>
  </si>
  <si>
    <t>GreenDoc System Kft.</t>
  </si>
  <si>
    <t>WinPA postázó szoftver követés, emelt szintű támogatás</t>
  </si>
  <si>
    <t>JakabNet Szoftverház Kft.</t>
  </si>
  <si>
    <t>Integrált Közszolg. Szoftvercsomag követése-pü,szoc...modul-Szakcs</t>
  </si>
  <si>
    <t>K&amp;H Biztosító Zrt.</t>
  </si>
  <si>
    <t>Karádi-Kontroll Kft.</t>
  </si>
  <si>
    <t>munkavédelmi tanácsadás</t>
  </si>
  <si>
    <t>Karádiné Kurucz Klára e.v.</t>
  </si>
  <si>
    <t>munkavédelmi tanácsadás-Szakcs</t>
  </si>
  <si>
    <t>KIMÉRA Kft.</t>
  </si>
  <si>
    <t>Jogszabálykövetés /iktató rendszer/</t>
  </si>
  <si>
    <t>Komunáldata Számítástechnikai Fejlesztő és Szolgáltató Kft</t>
  </si>
  <si>
    <t>ado 24 nyomtatvány (elektronikusan kitölthető forma)</t>
  </si>
  <si>
    <t>jogi közreműködés, képviselet, tanácsadás, és állásfoglalás elkészítése</t>
  </si>
  <si>
    <t>Magyar Posta Zrt.</t>
  </si>
  <si>
    <t>postai küldemények havi díja</t>
  </si>
  <si>
    <t>Magyar Telekom Nyrt.</t>
  </si>
  <si>
    <t>tűzjelző rendszer telefonvonala-Bezerédj u. 14.</t>
  </si>
  <si>
    <t>mobiltelefon előfizetése-Szakcs (30/501-3166)</t>
  </si>
  <si>
    <t>Microsec Zrt.</t>
  </si>
  <si>
    <t>e-Szigno Csomag keretében együttesen nyújtott szolgáltatások</t>
  </si>
  <si>
    <t>megrendelő</t>
  </si>
  <si>
    <t>Nemzeti Hulladékgazdálkodási és Vagyonkezelő Zrt.</t>
  </si>
  <si>
    <t>Szab. 18, Bez. 14. kukák ürítése</t>
  </si>
  <si>
    <t>Opten Informatikai Kft.</t>
  </si>
  <si>
    <t>cégtár online (pü-i modul) éves előfizetés</t>
  </si>
  <si>
    <t>lemondásig érvényben</t>
  </si>
  <si>
    <t>Önkormányzati vállalkozás-figyelés -adósok</t>
  </si>
  <si>
    <t>Print Copy Kft.</t>
  </si>
  <si>
    <t>Saldo Rt.</t>
  </si>
  <si>
    <t>tagdíj</t>
  </si>
  <si>
    <t>TAGE Kft.</t>
  </si>
  <si>
    <t>Polg. Hiv. takarítása, felhasznált higéniai szerek</t>
  </si>
  <si>
    <t>TARR Kft.</t>
  </si>
  <si>
    <t>Telenor Magyarország Zrt.</t>
  </si>
  <si>
    <t>Tolna Megyei Kormányhivatal</t>
  </si>
  <si>
    <t>helyi személyiadat és lakcímnyilvánt. számgépes rendsz.karbt</t>
  </si>
  <si>
    <t>Tolna Megyei Ügyvédi Kamara</t>
  </si>
  <si>
    <t>kamarai jogtanácsosi díj</t>
  </si>
  <si>
    <t>UNIQA Biztosító Zrt.</t>
  </si>
  <si>
    <t>VARITEL Irodatechnika</t>
  </si>
  <si>
    <t>Develop Ineo +227e fénymásoló bérlete, lapköltsége</t>
  </si>
  <si>
    <t>fénymásoló bérlete (Develop Ineo 224e)</t>
  </si>
  <si>
    <t>fűtési díj ( Bezerédj 14.)</t>
  </si>
  <si>
    <t>Werner Tamás e.v. (WS Works)</t>
  </si>
  <si>
    <t>Wolters Kluwer Kft.</t>
  </si>
  <si>
    <t>előfizetések (jogtárak, döntvénytár)</t>
  </si>
  <si>
    <t>X-R Copy Kft.</t>
  </si>
  <si>
    <t>AEGON Magyarország Zrt</t>
  </si>
  <si>
    <t>Vagyonbiztosítás</t>
  </si>
  <si>
    <t>ATEV Fehérjefeldolgozó Rt.</t>
  </si>
  <si>
    <t>állati hulladék szállítása</t>
  </si>
  <si>
    <t>Balaskó János e.v.</t>
  </si>
  <si>
    <t>városi fúvószenekar felkészítése</t>
  </si>
  <si>
    <t>BIOKOM Nonprofit Kft.</t>
  </si>
  <si>
    <t>zöldhulladék szállítása, ártalmatlanítása</t>
  </si>
  <si>
    <t>úttisztításból származó hulladék szállítása, ártalmatlanítása</t>
  </si>
  <si>
    <t>Csillag Társasház IB.</t>
  </si>
  <si>
    <t>vill. hálózat haszn. díja (térfigyelő r.)</t>
  </si>
  <si>
    <t>közös költség-Csillagház (bérlakások)</t>
  </si>
  <si>
    <t>Czinege és Társa Szolg. Bt.</t>
  </si>
  <si>
    <t>önkormányzat által kijelölt ingatlanok értékbecslése</t>
  </si>
  <si>
    <t>Dombó Pál Lakásépítő és Fenntartó</t>
  </si>
  <si>
    <t>Dombóvárhő Kkt.</t>
  </si>
  <si>
    <t>Dombóvári Illyés Gyula Gimnáziumért Alapítvány</t>
  </si>
  <si>
    <t>Gimnáziumi Tehetséggondozó Program</t>
  </si>
  <si>
    <t>Dombóvári Szent Lukács Kórház</t>
  </si>
  <si>
    <t>közfeladatok ellátása</t>
  </si>
  <si>
    <t>Dombóvári Vízmű Kft.</t>
  </si>
  <si>
    <t>Farkas Attila Tanuszoda adás-vétele</t>
  </si>
  <si>
    <t>Ingatlanvásárlás - 947/7 hrsz. \"kivett fűtőmű\"</t>
  </si>
  <si>
    <t xml:space="preserve">dr.  Pucsli és Tsa. Bt. </t>
  </si>
  <si>
    <t>üzemorvosi ellátás</t>
  </si>
  <si>
    <t>iskola eü. feladat</t>
  </si>
  <si>
    <t>DRV Zrt</t>
  </si>
  <si>
    <t>víz-önkormányzati fogyasztási helyek</t>
  </si>
  <si>
    <t>rendszerhasználati díj-ingatlanok, vízátemelők stb…</t>
  </si>
  <si>
    <t>gáz-ingatlanok</t>
  </si>
  <si>
    <t>Emberi Erőforrás Támogatáskezelő</t>
  </si>
  <si>
    <t>Bursa Hungarica ösztöndíj</t>
  </si>
  <si>
    <t>Emergency Service Egészségügyi Szolgáltató Kft.</t>
  </si>
  <si>
    <t>ügyeleti feladatok ellátása</t>
  </si>
  <si>
    <t>Gamaterv Mérnökiroda Bt.</t>
  </si>
  <si>
    <t>kivitelezéshez igazodóan</t>
  </si>
  <si>
    <t>Gond-X Kft.</t>
  </si>
  <si>
    <t>biztonságtechn. távfelügy.,műszaki kész./karb.-Termál  u. 5.</t>
  </si>
  <si>
    <t>Groupama Garancia Biztosító Zrt.</t>
  </si>
  <si>
    <t>Orvosi felelősségbiztosítás-dr. Pucsli E. (Bajcsy Zs. 5.)</t>
  </si>
  <si>
    <t>Halmai József e.v.</t>
  </si>
  <si>
    <t>Intergált Önkormányzati Szolgáltató Szervezet</t>
  </si>
  <si>
    <t>veszélyes hulladék elszállítása-orvosi rendelők</t>
  </si>
  <si>
    <t>Karádi-Kontroll Kft</t>
  </si>
  <si>
    <t>Tűzvédelmi feladatok elvégzése</t>
  </si>
  <si>
    <t>Kiszler András e.v.</t>
  </si>
  <si>
    <t>ifjúsági fúvószenekar felkészítése</t>
  </si>
  <si>
    <t>KOVI-95 KFT.</t>
  </si>
  <si>
    <t>Közép-Dunántúli Vizügy.Ig.Balatoni Kir.</t>
  </si>
  <si>
    <t>mederhasználat díja Balatonfenyves tábor</t>
  </si>
  <si>
    <t>Márkus Mérnöki Iroda Kft</t>
  </si>
  <si>
    <t>Mecsek-Dráva Önkormányzati Társulás</t>
  </si>
  <si>
    <t>intézmény működtetés támogatása</t>
  </si>
  <si>
    <t>Mikrolift Kft</t>
  </si>
  <si>
    <t>Hóvirág u. 1. HO felvonó karbantartása</t>
  </si>
  <si>
    <t>Mobil Adat Kft.</t>
  </si>
  <si>
    <t>kiskassza díjcsomag-uszoda</t>
  </si>
  <si>
    <t>Multi Alarm Zrt.</t>
  </si>
  <si>
    <t>Nemzeti Hulladékgazdálkodási Koordináló és Vagyonkezelő Zrt.</t>
  </si>
  <si>
    <t>Népköztársaság u. 23.- 25.- 27.- 29. Társasház</t>
  </si>
  <si>
    <t>közös költség Pannónia u 23-29 garázs</t>
  </si>
  <si>
    <t>közös költség Pannónia u. 27. üzlet</t>
  </si>
  <si>
    <t>Reality - Property Kft.</t>
  </si>
  <si>
    <t>Petrónus Vagyonértékelő és Szolgáltató Kft.</t>
  </si>
  <si>
    <t>Régió 2007 Kft.</t>
  </si>
  <si>
    <t>Helyi személyszállítási közszolgáltatás ellátása</t>
  </si>
  <si>
    <t>Sió-Procent Kft.</t>
  </si>
  <si>
    <t>Tamási Tankerületi Központ</t>
  </si>
  <si>
    <t>Tarr KFT.</t>
  </si>
  <si>
    <t>Internet előfizetési díj-Bajcsy Zs. u. 2.</t>
  </si>
  <si>
    <t>Társasház Kaposszekcső, Liget ltp. 5.</t>
  </si>
  <si>
    <t>Tinódi Ház Nonprofit Kft.</t>
  </si>
  <si>
    <t>köztemetés</t>
  </si>
  <si>
    <t>U Light ESCO Kft.</t>
  </si>
  <si>
    <t>közvilágítási elemek karbantartása-"aktív"</t>
  </si>
  <si>
    <t>ZNET Telekom Zrt.</t>
  </si>
  <si>
    <t>AirBusiness 10/10 internet-Víztorony</t>
  </si>
  <si>
    <t>6. Helyi utak fenntartása</t>
  </si>
  <si>
    <t>2.2. Sporttámogatások sportszervezeteknek</t>
  </si>
  <si>
    <t>Átvett pénzeszköz, támogatás</t>
  </si>
  <si>
    <t>Dombóvári Százszorszép Óvoda és Bölcsőde</t>
  </si>
  <si>
    <t>106. cím összesen:</t>
  </si>
  <si>
    <t>Finanaszírozási bevételek</t>
  </si>
  <si>
    <t>3. Hitelek</t>
  </si>
  <si>
    <t>3.1. Működési hitel</t>
  </si>
  <si>
    <t>3.2. Beruházási hitel</t>
  </si>
  <si>
    <t>3.3. Likvid hitel</t>
  </si>
  <si>
    <t>Támogatások államháztartáson belülről</t>
  </si>
  <si>
    <t>1. Egyéb működési célú támogatások államháztartáson belülről</t>
  </si>
  <si>
    <t>2. Egyéb felhalmozási célú támogatások államháztartáson belülről</t>
  </si>
  <si>
    <t>1.4.4. Közös Önkormányzati Hivatal működtetéséhez hozzájárulás Csikóstőttős</t>
  </si>
  <si>
    <t>1.4.5. Közös Önkormányzati Hivatal működtetéséhez hozzájárulás Attala</t>
  </si>
  <si>
    <t>Őri Nándor dombóvári lakos</t>
  </si>
  <si>
    <t>353/2019. (XI. 29.)Kt. határozat</t>
  </si>
  <si>
    <t>dombóvári 0328/1 hrsz.-ú, a gyepmesteri telepet is magában foglaló ingatlan (2024. december 31-ig)</t>
  </si>
  <si>
    <t>350/2019. (XI. 29.) Kt. határozat</t>
  </si>
  <si>
    <t>Dombóvári Roma
Nemzetiségi Önkormányzat</t>
  </si>
  <si>
    <t>nemzetiségi feladatok ellátásához a Dombóvár, Szabadság utca 4. alatti, dombóvári 47 hrsz.-ú ingatlannak a kialakult viszonyok szerint a Dombóvár Város Önkormányzata tulajdonába tartozó ingatlanrész térítésmentes használata</t>
  </si>
  <si>
    <t>349/2019. (XI. 29.) Kt. határozat</t>
  </si>
  <si>
    <t>Dombóvár, Bezerédj u. 14. szám alatti, dombóvári 1306. hrsz.-ú ingatlanon épült társas irodaházban alábbi helyiségek használata:
a) A Nemzetiségi Közösségi Ház – 
a nagyterem a kiszolgálóhelyiségekkel együtt (1306/A/2. külön helyrajzi szám), iroda (bemutatóterem) 18,90 m2 (1306/A/3. külön helyrajzi szám egyik irodahelyisége) iroda 18,40 m2 (1306/A/3. külön helyrajzi szám egyik irodahelyisége),
b) a Német Közösségi Ház – pince (alagsor és mellékhelyiségei) (1306/A/1. külön helyrajzi szám)
2024. december 31-ig</t>
  </si>
  <si>
    <t>20 %-os adókedvezmény illeti meg azt a magánszemélyt, akinek a rendelet 1. melléklete I., II., vagy III. övezetébe sorolt lakóingatlana előtti közút nem rendelkezik aszfaltburkolattal.</t>
  </si>
  <si>
    <t xml:space="preserve">Adókedvezmény illeti meg azt a magánszemélyt, aki a rendelet 1. melléklete szerinti I. vagy II. övezetben lakást vásárolt és ott állandó lakóhelyet létesített. 
</t>
  </si>
  <si>
    <t xml:space="preserve">Mentes – a Htv. 13-13/A. §-ban foglaltakon túl – az építményadó megfizetése alól:
a) a lakás, amennyiben az adó alanya magánszemély, 
b) garázs, gépjárműtároló – kivéve az ingatlan-nyilvántartásban teremgarázsként feltüntetett épületrészt –, üvegház, pince, présház, hűtőház vagy ilyenként feltüntetésre váró épület, továbbá a melléképület és a melléképületrész. </t>
  </si>
  <si>
    <t>338/2019. (XI. 8.) Kt. határozat</t>
  </si>
  <si>
    <t>Magyar Máltai Szeretetszolgálat Egyesület</t>
  </si>
  <si>
    <t>térítésmentes használati jog a szociális szolgáltatás biztosítása érdekében az ellátási szerződéssel megegyező időtartamra a Dombóvár Város Önkormányzata tulajdonát képező, a Dombóvár, Arany János tér 2. alatti, dombóvári 224/3. hrsz. alatt felvett, valamint a Dombóvár, Szabadság utca 6. alatti, dombóvári 46. hrsz. alatt felvett ingatlanokra</t>
  </si>
  <si>
    <t>371/2018. (XI. 29.) Kt. határozat</t>
  </si>
  <si>
    <t>Kapos-hegyháti
Natúrpark Egyesület</t>
  </si>
  <si>
    <t>helyi természetvédelemmel kapcsolatos feladatok ellátásához – a dombóvári 2923/A/2 hrsz. alatt nyilvántartott, Gyár u. 16. szám alatti, természetőr bázis céljára szolgáló ingatlan térítésmentes használata  2019. január 1-től 2023. december 31-ig, a használó a térítésmentes használat fejében köteles viselni az összes üzemeltetési költséget</t>
  </si>
  <si>
    <t>2026.</t>
  </si>
  <si>
    <t>egyéb működési célú kiadások (bértámogatások)</t>
  </si>
  <si>
    <t xml:space="preserve"> TOP-7.1.1-16-H-ERFA-2018-00032</t>
  </si>
  <si>
    <t xml:space="preserve"> Szigeterdei Közösségi Tér kialakítása</t>
  </si>
  <si>
    <t>TOP-3.2.1-16-TL1-2018-00020</t>
  </si>
  <si>
    <t>A városháza épületének energetikai korszerűsítése Dombóváron</t>
  </si>
  <si>
    <t>KEHOP-5.4.1-16-2016-00131</t>
  </si>
  <si>
    <t xml:space="preserve"> ENERGIATUDATOS DOMBÓVÁR - Az energiatudatos gondolkodást és életmódot elősegítő tematikus programsorozat szervezése és lebonyolítása a helyi közösségek bevonásával Dombóváron és térségében</t>
  </si>
  <si>
    <t>KÖH Attalai Kirendeltsége</t>
  </si>
  <si>
    <t>KÖH Csikóstőttősi Kirendeltsége</t>
  </si>
  <si>
    <t>Dombóvári Szivárvány Óvoda</t>
  </si>
  <si>
    <t xml:space="preserve">Működési bevételek </t>
  </si>
  <si>
    <t>közös költség-Hunyadi téri buszmegálló</t>
  </si>
  <si>
    <t>kivitelezés műszaki átadásának napja</t>
  </si>
  <si>
    <t>fűtés díja-Pannónia út 7. 2 lh. (üres üzlethelyiség)</t>
  </si>
  <si>
    <t>fűtési díj-Pannónia út 27. 4 lh (hőközpont)</t>
  </si>
  <si>
    <t>mosatási szolgáltatás (350,- ft+áfa/kg)</t>
  </si>
  <si>
    <t>Dombóvári Városgazd. Nkft.</t>
  </si>
  <si>
    <t>vissza nem térítendő támogatás közfoglalkoztatásra</t>
  </si>
  <si>
    <t>rehabilitációs környezettervező szakértői feladatok-TOP-4.3.1-15-TL1-2016-00003</t>
  </si>
  <si>
    <t>kivitelezés műszaki átádásának napja</t>
  </si>
  <si>
    <t>Szigeterdei lakótorony 24 órás távfelügyelete</t>
  </si>
  <si>
    <t>távfelügyelet, műszaki készenlét és karbantartás-Köztársaság u. inkubátorház</t>
  </si>
  <si>
    <t>Maár Építész Iroda Kft.</t>
  </si>
  <si>
    <t>Műszaki ellenőri feladatok-Kéknefelejcs-Ibolya u. ivóvízhálózat rekonstrukció</t>
  </si>
  <si>
    <t>Rostás Jenőné ev.</t>
  </si>
  <si>
    <t>elektromos eszközök szállítása-TOP-4.3.1-15-TL1-2016-00004</t>
  </si>
  <si>
    <t>közösségi szőlészeti oktatóközpont műszaki átadás-átvételét követő nap</t>
  </si>
  <si>
    <t>elektromos eszközök szállítása-TOP-4.3.1-15-TL1-2016-00002</t>
  </si>
  <si>
    <t>közösségi ház műszaki átadás-átvételét követő nap</t>
  </si>
  <si>
    <t>RP-SC Holding Szolgáltató Kft.</t>
  </si>
  <si>
    <t>energetikai tanúsítás/audit elvégzése a beruházás utáni állapotra-TOP-4.3.1-15-TL1-2016-00002</t>
  </si>
  <si>
    <t>energetikai tanúsítás/audit elvégzése a beruházás utáni állapotra-TOP-4.3.1-15-TL1-2016-00004</t>
  </si>
  <si>
    <t>Tanácsköztársaság tér 7-9. társasház</t>
  </si>
  <si>
    <t>Társasház Hunyadi tér 34 A/B.</t>
  </si>
  <si>
    <t>közös költség-Hunyadi tér 34. (üzlet)</t>
  </si>
  <si>
    <t>kamerarendszer karbantartása, üzem.-Víztorony</t>
  </si>
  <si>
    <t>101-104. intézmények összesen</t>
  </si>
  <si>
    <t>1. Választott tisztségviselők juttatásai</t>
  </si>
  <si>
    <t>3. Farkas Attila Uszoda</t>
  </si>
  <si>
    <t>4. Egyéb foglalkoztatottak személyi juttatásai</t>
  </si>
  <si>
    <t>4. Egyéb foglalkoztatottak</t>
  </si>
  <si>
    <t>5. A helyi önkormányzatok előző évi elszámolásából származó kiadások</t>
  </si>
  <si>
    <t>2. Ingatlanvásárlás</t>
  </si>
  <si>
    <t>Működési célú támogatások államháztartáson belülről</t>
  </si>
  <si>
    <t>Szivárvány Óvoda</t>
  </si>
  <si>
    <t>Zöld Liget Óvoda</t>
  </si>
  <si>
    <t>Százszorszép Óvoda</t>
  </si>
  <si>
    <t>Tündérkert Bölcsőde</t>
  </si>
  <si>
    <t>Dombóvár</t>
  </si>
  <si>
    <t>Szakcs</t>
  </si>
  <si>
    <t>Attala</t>
  </si>
  <si>
    <t>Csikóstőttős</t>
  </si>
  <si>
    <t>Albacomp RI Kft.</t>
  </si>
  <si>
    <t>Elektronikus információbiztonsági feladatok ellátása</t>
  </si>
  <si>
    <t>Dombóvárhő</t>
  </si>
  <si>
    <t>felelősségbiztosítás, casco-JLV-415,EIE-487,LLP-126, LHL-651 (Szakcs)</t>
  </si>
  <si>
    <t>Konica Minolta Kft.</t>
  </si>
  <si>
    <t>Konica Minolta bizhub C250i fénymásoló - bérleti díj, és másolati díjak</t>
  </si>
  <si>
    <t>vezetékes telefonok - Szakcs</t>
  </si>
  <si>
    <t>internet-előfizetési díj, internet optikai szálbérlet,kábelTV,Szakcs</t>
  </si>
  <si>
    <t>Vincellérné dr. Illés Krisztina</t>
  </si>
  <si>
    <t>2023. év</t>
  </si>
  <si>
    <t>105. cím összesen</t>
  </si>
  <si>
    <t>1.6.1. Önkormányzat</t>
  </si>
  <si>
    <t>1.5. Dombóvári Közös Önkormányzati Hivatal</t>
  </si>
  <si>
    <t xml:space="preserve">1.1. Dombóvári Szivárvány Óvoda </t>
  </si>
  <si>
    <t>2. Működési célú költségvetési támogatások és kiegészítő támogatások (B115)</t>
  </si>
  <si>
    <t>1. Közfoglalkoztatás támogatása</t>
  </si>
  <si>
    <t>2.3. Dombóvári Művelődési Ház, Könyvtár és Helytörténeti Gyűjtemény</t>
  </si>
  <si>
    <t>1.3. Dombóvári Művelődési Ház, Könyvtár és Helytörténeti Gyűjtemény</t>
  </si>
  <si>
    <t>2.1. Dombóvári Szivárvány Óvoda</t>
  </si>
  <si>
    <t>1.6.2. Önkormányzat (állami támogatás)</t>
  </si>
  <si>
    <t>Dombóvári Művelődési Ház, Könyvtár és Helytörténeti Gyűjtemény</t>
  </si>
  <si>
    <t>2. Közvetített szolgáltatások ellenértéke (intézményi gázfűtés miatt, háziorvosi rendelők, tábor, gyermekétkeztetés)</t>
  </si>
  <si>
    <t>1. Intézményi működési bevétel (segélyek visszafizetése, köztemetés, közig. bírság végrehajtásából, egyéb bevételek)</t>
  </si>
  <si>
    <t>2020.12.31-ig</t>
  </si>
  <si>
    <t>beruházás (ingatlan vásárlás költségei, építéshez kapcsolódó költségek, eszközbeszerzés)</t>
  </si>
  <si>
    <t>támogatási előleg visszafizetése</t>
  </si>
  <si>
    <t>TOP-1.1.1-16-TL1-2017-00002</t>
  </si>
  <si>
    <t>Tüskei iparterület fejlesztése és új iparterület kialakítása 2017</t>
  </si>
  <si>
    <t>TOP-3.2.1-16-TL1-2018-00029</t>
  </si>
  <si>
    <t>A Dombóvári József Attila Általános Iskola energetikai korszerűsítése</t>
  </si>
  <si>
    <t>Dombóvári Műv.Ház, Könyvtár és Helytörténeti Gyűjt.</t>
  </si>
  <si>
    <t>2027.</t>
  </si>
  <si>
    <t>2028.</t>
  </si>
  <si>
    <t>15/2020. (I. 31.) Kt. határozat</t>
  </si>
  <si>
    <t>Gunaras Zrt.</t>
  </si>
  <si>
    <t>Info Pont működtetéséhez a korábban a Tourinform Irodában használt tárgyi eszközök és sportszerek használatának terítésmentes átadásához határozatlan időre az önkormányzat turizmussal kapcsolatos közfeladatának ellátásához</t>
  </si>
  <si>
    <t>123/2020. (IX. 30.) Kt. határozat</t>
  </si>
  <si>
    <t>Dombóvári Közös Önkormányzati Hivatal tulajdonát képező, EIE-487 forgalmi rendszámú VW Transporter típusú gépjárművet a Magyar Máltai Szeretetszolgálat Egyesület használja üzembentartóként térítésmentesen határozatlan időre a vele kötött ellátási szerződés szerinti szociális szolgáltatás nyújtásához</t>
  </si>
  <si>
    <t>132/2020. (IX. 30.) Kt. határozat</t>
  </si>
  <si>
    <t>Dombóvári Városgazdálkodási Nonprofit Kft.</t>
  </si>
  <si>
    <t>Árpád utcában lévő dombóvári 945/1 hrsz.-ú, lakóház, udvar, gazdasági épület, egyéb épület megnevezésű ingatlan keleti részén található – korábban villanyszerelői tanműhely céljára használt – helyiségek térítésmentes használata haszonkölcsön formájában</t>
  </si>
  <si>
    <t>126/2020. (XII. 18.) határozat</t>
  </si>
  <si>
    <t>Dombóvár, Földvár utca 18. szám alatti Szuhay Sportcentrum térítésmentes használata 2022. december 31-ig sportszervezetek részére a sporttevékenységük végzésére</t>
  </si>
  <si>
    <t>Dombóvári Karatesuli Közhasznú Egyesület,
Dombóvári Vasutas Atlétikai és Szabadidő Egyesület,
Dombóvári Floorball Közhasznú Sportegyesület,
SEIBUKAI KYOKUSHIN Dombóvár Sportegyesület,
Dombóvári Asztalitenisz Club Közhasznú Egyesület,
Dombóvári Hangulat Szabadidő Sportegyesület,
Dombóvári Futball Club,
Dombóvári Judo Klub,
Dombóvári Labdarúgó Klub,
JUMPERS Dombóvári Kötélugró Sportegyesület,
Dombóvári Kosárlabda Klub Sport Egyesület</t>
  </si>
  <si>
    <t>Dombóvár 2004. Egyesület</t>
  </si>
  <si>
    <t>21. Testvérvárosi kapcsolat kialakítása Gyergyószentmiklós településsel (pályázat)</t>
  </si>
  <si>
    <t>50. Tagdíj Kapos-menti Terület- és Vidékfejlesztési Társulásnak</t>
  </si>
  <si>
    <t>1.2. Rendkívüli települési támogatás temetési költségek finanszírozásához</t>
  </si>
  <si>
    <t>1.3. Rendkívüli települési támogatás megélhetésre</t>
  </si>
  <si>
    <t>1.4. Iskolakezdési támogatás</t>
  </si>
  <si>
    <t>1.5. Utazási támogatás</t>
  </si>
  <si>
    <t>1.6. Gyermek születésének támogatása</t>
  </si>
  <si>
    <t>1.1. Dombóvári Szociális és Gyermekjóléti Intézményfenntartó Társulás működésre átadott pénzeszköz</t>
  </si>
  <si>
    <t>1.2. Dombóvári Illyés Gyula Gimnázium Tehetséggondozó Program támogatása</t>
  </si>
  <si>
    <t>1.4. Bursa Hungarica felsőoktatási ösztöndíj pályázat</t>
  </si>
  <si>
    <t>2.11. Dombóvári Városgazdálkodási Nkft. részére önerő közfoglalkoztatáshoz</t>
  </si>
  <si>
    <t>1. Szőlőhegyre vezető kerékpárútnál híd megépítése</t>
  </si>
  <si>
    <t>3. Közvilágítás bővítése, korszerűsítése, fejlesztése</t>
  </si>
  <si>
    <t>4. Intézményi informatikai beszerzés</t>
  </si>
  <si>
    <t>5. Térfigyelő kamerarendszer bővítése</t>
  </si>
  <si>
    <t>2.1. Helyi védelem alatt álló épületek felújítására</t>
  </si>
  <si>
    <t>2.2. A Dombóvári Városgazdálkodási Nonprofit Kft. eszközvásárlásának támogatása</t>
  </si>
  <si>
    <t>2.3. TAO-s támogatáshoz önrész biztosítása</t>
  </si>
  <si>
    <t>3. Lakásgazdálkodás, bérleményhasznosítás - bérleti díj bevételek</t>
  </si>
  <si>
    <t>4. Közterület használati díj</t>
  </si>
  <si>
    <t>5. Terület bérbeadás</t>
  </si>
  <si>
    <t>6. Távhő vagyon bérbeadásából származó bevételek</t>
  </si>
  <si>
    <t>7. Farkas Attila Uszoda bevétele</t>
  </si>
  <si>
    <t>8. Balatonfenyvesi Ifjúsági Tábor bérbeadása</t>
  </si>
  <si>
    <t>2. Egyéb közhatalmi bevételek</t>
  </si>
  <si>
    <t>2.1. pótlék, bírság</t>
  </si>
  <si>
    <t>2.2. talajterhelési díj</t>
  </si>
  <si>
    <t>1.6. Nyári diákmunka támogatása</t>
  </si>
  <si>
    <t>1.7. Kiegészítő gyermekvédelmi támogatás</t>
  </si>
  <si>
    <t>1.8. EFOP-3.9.2-16-2017-00047 Humán kapacitások fejlesztése a Dombóvári járásban</t>
  </si>
  <si>
    <t>2.1. Döbrököztől szennyvízcsatlakozáshoz hozzájárulás</t>
  </si>
  <si>
    <t>2.2. Farkas Attila Uszoda vizesblokk és öltöző felújítására</t>
  </si>
  <si>
    <t>Lechner Nonprofit Kft.</t>
  </si>
  <si>
    <t>biko Cégellátó Kft.</t>
  </si>
  <si>
    <t>Festék tonerek (gyári, és utángyártott)</t>
  </si>
  <si>
    <t>Eötvös Loránd Tudományegyetem</t>
  </si>
  <si>
    <t>dr. Fóris Attila adatbiztonsági- és adatvédelmi szakjogász képzés</t>
  </si>
  <si>
    <t>HP Designjet T120 A1 Plotter tintasug. nyomtató bérlete (P2218)</t>
  </si>
  <si>
    <t>szóbeli m.</t>
  </si>
  <si>
    <t>Nemzeti Közszolgálati Egyetem</t>
  </si>
  <si>
    <t>fénymásolók üzemeltetési költsége (Szakcs-MP3351)</t>
  </si>
  <si>
    <t>tagdíj (adó-és számviteli tanácsadás)</t>
  </si>
  <si>
    <t>felelősségbiztosítás,és casco-LFA-110 (Renault Mégane)</t>
  </si>
  <si>
    <t>garázsmester gépkocsi nyilvántartó program karbantartása</t>
  </si>
  <si>
    <t>másolatok díja-Kon. Min. Bizhub 163. -Szakcs</t>
  </si>
  <si>
    <t>infláció:</t>
  </si>
  <si>
    <t>5T Építészeti és Városfejlesztési Kft.</t>
  </si>
  <si>
    <t>Településrendezési tervek módosítása</t>
  </si>
  <si>
    <t>Dombóvár Hunyadi Téri Buszváró Üzletház</t>
  </si>
  <si>
    <t>gesztenyefák (427 db), platánfák (177 db), nyírfák (21 db) permetezése</t>
  </si>
  <si>
    <t>Buda József</t>
  </si>
  <si>
    <t>Paltán tér 1-3-5. épület villamos hálózat felújítási terveinek elkészítése</t>
  </si>
  <si>
    <t>Czétány László</t>
  </si>
  <si>
    <t>energetikai tanúsítvány-önkormányzati ingatlanok</t>
  </si>
  <si>
    <t>közös költség Ady u. 8-12. üzlethelyiség</t>
  </si>
  <si>
    <t>fűtés díja-Hunyadi tér 32. 4 lh. (üres üzlethelyiség)</t>
  </si>
  <si>
    <t>DOMBÓVÁRI EGYESÍTETT HUMÁN SZOLGÁLTATÓ INTÉZMÉNY</t>
  </si>
  <si>
    <t>Eatrend Kft.</t>
  </si>
  <si>
    <t>gyermekétkeztetési feladatok</t>
  </si>
  <si>
    <t>Effix-International Kft.</t>
  </si>
  <si>
    <t>szakértői feladatok ellátása-KEHOP-5.4.1-16-2016-00131</t>
  </si>
  <si>
    <t>Futó Rebeka</t>
  </si>
  <si>
    <t>Imázs építés, arculati megjelenés érdekében együttműködés, tanácsadás, sajtómeghívókhoz dokumentumok beszerzése...</t>
  </si>
  <si>
    <t>rágcsáló, kártevő és rovarírtás</t>
  </si>
  <si>
    <t>Kapos-Menti Területi- és Vidékfejlesztési Társulás</t>
  </si>
  <si>
    <t>Kapos-menti Hírlevél hozzájárulás</t>
  </si>
  <si>
    <t>Tolnatáj TV Kapos-menti Magazin</t>
  </si>
  <si>
    <t>uszoda tűzjelző, telefon; inkubátorház biztonsági rendszer</t>
  </si>
  <si>
    <t>MÁV Zrt.</t>
  </si>
  <si>
    <t>bérleti díj, ingatlankezelési díj, közüzemi díjak-Földvár u. 35. (1889/21 hrsz., burkolatlan terület)</t>
  </si>
  <si>
    <t>Mediaworks Hungary Zrt.</t>
  </si>
  <si>
    <t>Tolnai Népújságban való megjelenések díja</t>
  </si>
  <si>
    <t>Mezőföldi Regionális Víziközmű Kft.</t>
  </si>
  <si>
    <t>fürdővíz laborvizsgálata-uszoda</t>
  </si>
  <si>
    <t>MVM Next Energiakereskedelmi Zrt.</t>
  </si>
  <si>
    <t>Nagyné Messinger Tímea</t>
  </si>
  <si>
    <t>szakmai vezetői feladatok-TOP-5.2.1-15-TL1-2016-00001 (Mászlony szegregátum társadalmi integrációja)</t>
  </si>
  <si>
    <t>szakmai vezetői feladatok-TOP-5.2.1-15-TL1-2016-00002 (Szigetsor-Vasút szegregátum társadalmi integrációja)</t>
  </si>
  <si>
    <t>szakmai vezetői feladatok-TOP-5.2.1-15-TL1-2016-00003 (Kakasdomb-Erzsébet u. társadalmi integrációja)</t>
  </si>
  <si>
    <t>Nemcsényi Gábor e.v.</t>
  </si>
  <si>
    <t>webdesign, weblap tervezése, weblap karbantartása</t>
  </si>
  <si>
    <t>Hulladékszállítás-városi kukák ürítése, Hóvirág u. házoirvosi rendelő, Baltonfenyves, hulladékudvar…</t>
  </si>
  <si>
    <t>NKM Energia Zrt.</t>
  </si>
  <si>
    <t>gáz-bérlakások</t>
  </si>
  <si>
    <t>értékbecslés-önkormányzat által kijelölt ingatlanok-</t>
  </si>
  <si>
    <t>Radics Ferenc ev.</t>
  </si>
  <si>
    <t>értékbecslés-önkormányzat által kijelölt ingatlanok</t>
  </si>
  <si>
    <t>Bezerédj u. ivóvízvezeték rekonstrukció I. ütem II. eljárás (pótmunka)</t>
  </si>
  <si>
    <t>közös költség-Platán tér 9. fsz. 3. (bérlakás)</t>
  </si>
  <si>
    <t>Tóth Temetkezés Kegyeleti Kft.</t>
  </si>
  <si>
    <t>Varga Szilvia</t>
  </si>
  <si>
    <t>2024. év</t>
  </si>
  <si>
    <t>1. Szivárvány Óvodában megvalósuló beruházások</t>
  </si>
  <si>
    <t>2. Zöld Liget Tagóvodában megvalósuló beruházások</t>
  </si>
  <si>
    <t>1. Szivárvány Óvodában megvalósuló felújítások</t>
  </si>
  <si>
    <t>1. Kisértékű tárgyi eszköz beszerzés óvodába</t>
  </si>
  <si>
    <t>1. Óvodában megvalósuló felújítások</t>
  </si>
  <si>
    <t>2.5.1. Önkormányzat (pályázatok)</t>
  </si>
  <si>
    <t>2.5.2. Önkormányzat (bérlakások kiadásaira elkülönített)</t>
  </si>
  <si>
    <t>4. Elszámolásból származó bevételek (B116)</t>
  </si>
  <si>
    <t>TOP-4.1.1-15-TL1-2020-00028</t>
  </si>
  <si>
    <t>Dombóvár, Szabadság u. 2. szám alatti orvosi rendelő felújítása</t>
  </si>
  <si>
    <t>9. Gunarasi gyerektábor</t>
  </si>
  <si>
    <t>1.3. Régészeti tárgyú pályázathoz önrész biztosítása</t>
  </si>
  <si>
    <t>Összesen (2021.09.01-től):</t>
  </si>
  <si>
    <t>2021. mód. ei.</t>
  </si>
  <si>
    <t>4. Államháztartáson belüli megelőlegezések (B814)</t>
  </si>
  <si>
    <t>3. Felhalmozási célú költségvetési támogatások (B21)</t>
  </si>
  <si>
    <t>2.1. Lakosságtól szennyvízhozzájárulás</t>
  </si>
  <si>
    <t>2. Sportpályák (Szuhay Sportcentrum)</t>
  </si>
  <si>
    <t>1.5. Közfoglalkozatás támogatás, EFOP támogatás</t>
  </si>
  <si>
    <t>államig.
feladat</t>
  </si>
  <si>
    <t>létszámkerete 2022. évben</t>
  </si>
  <si>
    <t>2020. tény</t>
  </si>
  <si>
    <t>2022. eredeti</t>
  </si>
  <si>
    <t>2020-22. év</t>
  </si>
  <si>
    <t>2022. évi kiemelt kiadási előirányzata</t>
  </si>
  <si>
    <t>1. Bértámogatás</t>
  </si>
  <si>
    <t>2.1. Iparűzési adóhoz kapcsolódó kiegészítő támogatás</t>
  </si>
  <si>
    <t>4.1. 2021. évi elszámolás alapján keletkezett pótigény</t>
  </si>
  <si>
    <t>1.9. TOP-5.2.1-15-TL1-2016-00002 Szigetsor</t>
  </si>
  <si>
    <t>1.10. TOP-5.2.1-15-TL1-2016-00003 Kakasdomb-Erzsébet utca</t>
  </si>
  <si>
    <t>1.11. Kaposmenti Társulástól kapott támogatás</t>
  </si>
  <si>
    <t>2.3. TOP-7.1.1-16-H-ERFA-2018-00032  Szigeterdei Közösségi Tér kialakítása</t>
  </si>
  <si>
    <t>2.4. TOP-1.1.1-16-TL1-2017-00002  Tüskei iparterület fejlesztése és új iparterület kialakítása</t>
  </si>
  <si>
    <t>2.5. TOP-3.2.1-16-TL1-2019-00029 Dombóvári József Attila Általános Iskola energetikai korszerűsítése</t>
  </si>
  <si>
    <t>2.6. TOP-4.3.1-15-TL1-2016-00002 Mászlony - oázis az agrársivatagban</t>
  </si>
  <si>
    <t>2.7. TOP-4.3.1-15-TL1-2016-00003 A dombóvári Szigetsor-Vasút szegregátumok rehabilitációja</t>
  </si>
  <si>
    <t>2.8. TOP-4.3.1-15-TL1-2016-00004 DARK projekt</t>
  </si>
  <si>
    <t>2.9. Országos Bringapark Program 2022 pályázat</t>
  </si>
  <si>
    <t>1.1. Dombóvári HACS Egyesületnek nyújtott visszatérítendő támogatás</t>
  </si>
  <si>
    <t>1.2. Hamulyák Közalapítványnak nyújtott visszatérítendő támogatás</t>
  </si>
  <si>
    <t>2022. évi bevételek</t>
  </si>
  <si>
    <t>2022. évi kiadások</t>
  </si>
  <si>
    <t>3. Szivárvány Óvoda uszodájába kisértékű tárgyi eszköz beszerzés</t>
  </si>
  <si>
    <t>2. Szivárvány Óvoda uszodájában vízmelegítő rendszer javítása, csőcsere</t>
  </si>
  <si>
    <t>1. Művelődési Ház lift akkumulátor csere</t>
  </si>
  <si>
    <t>2. Kisértékű tárgyi eszköz beszerzés</t>
  </si>
  <si>
    <t>3. Kisértékű tárgyi eszköz beszerzés Szakcs</t>
  </si>
  <si>
    <t>5. TOP-7.1.1-16-H-ERFA-2018-00032  Szigeterdei Közösségi Tér kialakítása</t>
  </si>
  <si>
    <t>8. Útburkolati jelek festése</t>
  </si>
  <si>
    <t>7. Megsüllyedt közműaknafedlapok szintre emelése</t>
  </si>
  <si>
    <t>9. Belvízvédelem, települési vízellátás</t>
  </si>
  <si>
    <t>10. Ingatlanok üzemeltetése</t>
  </si>
  <si>
    <t>11. Köztisztaság, parkfenntartás</t>
  </si>
  <si>
    <t>12. Közterületen lévő fák, fasorok cseréje, telepítése, rendezése, nyesése, eseti fakivágások, növénybeszerzés</t>
  </si>
  <si>
    <t>13. Temetőfenntartás</t>
  </si>
  <si>
    <t>14. Közvilágítás - üzemeltetés, karbantartás, bérleti díj</t>
  </si>
  <si>
    <t>15. Katasztrófavédelemmel, közbiztonsággal kapcsolatos feladatok</t>
  </si>
  <si>
    <t>16. Környezet- és természetvédelmi feladatok</t>
  </si>
  <si>
    <t>17. Kamatfizetés</t>
  </si>
  <si>
    <t>17.1. Működési hitel után</t>
  </si>
  <si>
    <t>17.2. Beruházási hitel után</t>
  </si>
  <si>
    <t xml:space="preserve">18. Központi orvosi ügyelet </t>
  </si>
  <si>
    <t>19. Jogi tanácsadás</t>
  </si>
  <si>
    <t>20. Városi rendezvények</t>
  </si>
  <si>
    <t>22. Önkormányzati jogalkotás kiadásai</t>
  </si>
  <si>
    <t>23. Pandémia miatti védekezés kiadásai</t>
  </si>
  <si>
    <t>24. Helyi tömegközlekedés biztosítása</t>
  </si>
  <si>
    <t>25. Városmarketing és kommunikációs feladatok</t>
  </si>
  <si>
    <t>26. Balatonfenyvesi és Gunarasi Ifjúsági Tábor üzemeltetése</t>
  </si>
  <si>
    <t>26.1. Balatonfenyves</t>
  </si>
  <si>
    <t>26.2. Gunaras</t>
  </si>
  <si>
    <t>27. ÁFA befizetés (építési telkek, víziközmű bérleti díj)</t>
  </si>
  <si>
    <t>28. Sportpályák üzemeltetése</t>
  </si>
  <si>
    <t>29. Hulladékudvar üzemeltetése</t>
  </si>
  <si>
    <t>30. Településrendezési eszközök felülvizsgálata és módosítása</t>
  </si>
  <si>
    <t>31. Karácsonyi díszkivilágítás felszerelése, leszerelése</t>
  </si>
  <si>
    <t>32. TOP-5.2.1-15-TL1-2016-00001 A dombóvári Mászlony szegregátumban élők társadalmi integrációjának helyi szintű komplex programja</t>
  </si>
  <si>
    <t>33. TOP-5.2.1-15-TL1-2016-00002 pályázat A dombóvári Szigetsor-Vasút szegregátumban élők társadalmi integrációjának helyi szintű komplex programja</t>
  </si>
  <si>
    <t>34. TOP-5.2.1-15-TL1-2016-00003 A dombóvári Kakasdomb-Erzsébet utca szegregációval veszélyeztetett területén élők társadalmi integrációjának helyi szintű komplex programja</t>
  </si>
  <si>
    <t>35. TOP-4.3.1-15-TL1-2016-00002 Mászlony - oázis az agrársivatagban</t>
  </si>
  <si>
    <t>36. TOP-4.3.1-15-TL1-2016-00003 A dombóvári Szigetsor-Vasút szegregátumok rehabilitációja</t>
  </si>
  <si>
    <t>37. TOP-4.3.1-15-TL1-2016-00004 DARK projekt</t>
  </si>
  <si>
    <t>38. TOP-3.2.1-16-TL1-2018-00029 Dombóvári József Attila Általános Iskola energetikai korszerűsítése</t>
  </si>
  <si>
    <t>39. TOP-7.1.1-16-H-ERFA-2018-00032  Szigeterdei Közösségi Tér kialakítása</t>
  </si>
  <si>
    <t>40. KEHOP-5.4.1-16-2016-00131 Energiatudatos Dombóvár</t>
  </si>
  <si>
    <t>41. TOP-4.1.1-15-TL1-2020-00028 Dombóvár, Szabadság u. 2. szám alatti orvosi rendelő felújítása</t>
  </si>
  <si>
    <t>42. TOP-1.1.1-16-TL1-2017-00002  Tüskei iparterület fejlesztése és új iparterület kialakítása</t>
  </si>
  <si>
    <t>43. TOP-2.1.3-16-TL1-2021-00023 Dombóvár, Ady Endre utca csapadékvízelvezető rendszer rekonstrukciója</t>
  </si>
  <si>
    <t>44. TOP-2.1.3-16-TL1-2021-00024 Dombóvár, Fő utca csapadékvíz-elvezető rendszer rekonstrukciója I. ütem – nyugati utcarész</t>
  </si>
  <si>
    <t>45. TOP-2.1.3-16-TL1-2021-00025 Dombóvár, Fő utca csapadékvíz-elvezető rendszer rekonstrukciója II. ütem – keleti utcarész</t>
  </si>
  <si>
    <t>46. Farkas Attila Uszoda üzemeltetése</t>
  </si>
  <si>
    <t>47. Járdaprogram (1000m)</t>
  </si>
  <si>
    <t>48. Szúnyoggyérítés Dombóvár város közigazgatási területén</t>
  </si>
  <si>
    <t>49. Új közlekedési jelző- és utcanév táblák beszerzése</t>
  </si>
  <si>
    <t>51. Gyermekétkeztetés kiadásai</t>
  </si>
  <si>
    <t>52. Dombóvári Városgazdálkodási Nkft.-nek közszolgáltatási szerződés alapján fizetendő</t>
  </si>
  <si>
    <t>53. Dombóvár város grafikai arculatának terve</t>
  </si>
  <si>
    <t>54. Befejezetlen újdombóvári utcanyitásokhoz kapcsolódó tervezési feladatok</t>
  </si>
  <si>
    <t>55. Fenntartható Városfejlesztési Stratégia (FVS) stratégia kidolgozása</t>
  </si>
  <si>
    <t>56. Játszóterek felülvizsgálata, a szükséges és lehetséges javítási, felújítási munkák elvégzése</t>
  </si>
  <si>
    <t>57. Iskola egészségügyi feladat</t>
  </si>
  <si>
    <t>58. Dombóvári Belvárosi Általános Iskola aulájában található Színforgó című alkotás restaurálásához hozzájárulás</t>
  </si>
  <si>
    <t>59. Tanulmánytervek készítése</t>
  </si>
  <si>
    <t>1.7. Krízishelyzeti támogatás</t>
  </si>
  <si>
    <t>1.5. TOP-5.2.1-15-TL1-2016-00001 pályázat támogatási előleg visszafizetése</t>
  </si>
  <si>
    <t>1.6. Nemzetiségi önkormányzatok támogatása</t>
  </si>
  <si>
    <t>2.3. Mecsek Dráva Önkormányzati Társulás 2016. évi hozzájárulás</t>
  </si>
  <si>
    <t>2.4. Mecsek Dráva Önkormányzati Társulás 2022. évi hozzájárulás</t>
  </si>
  <si>
    <t>2.5. Civil szervezetek támogatása</t>
  </si>
  <si>
    <t>2.6. Kapos Alapítvány támogatása</t>
  </si>
  <si>
    <t>2.7. Dombóvári Városszépítő és Városvédő Egyesület támogatása</t>
  </si>
  <si>
    <t>2.8. Dombóvári Polgárőr Egyesület támogatása</t>
  </si>
  <si>
    <t>2.9. Dombóvári Ifjúsági Fúvószenekar támogatása</t>
  </si>
  <si>
    <t>2.10. Help-Dombóvár Egyesület támogatása</t>
  </si>
  <si>
    <t>2.12. Visszatérítendő támogatás Dombóvári HACS Egyesület részére</t>
  </si>
  <si>
    <t>2.13. Szociális konyha szolgáltatás bevétellel nem fedezett kiadásaira Magyar Máltai Szeretetszolgálat Egyesületnek</t>
  </si>
  <si>
    <t>5.1. 2021. évi állami támogatások elszámolása</t>
  </si>
  <si>
    <t>6. TOP-4.3.1-15-TL1-2016-00002 Mászlony - oázis az agrársivatagban</t>
  </si>
  <si>
    <t>7. TOP-4.3.1-15-TL1-2016-00003 A dombóvári Szigetsor-Vasút szegregátumok rehabilitációja</t>
  </si>
  <si>
    <t>8. TOP-4.3.1-15-TL1-2016-00004 DARK projekt</t>
  </si>
  <si>
    <t>9. TOP-7.1.1-16-H-ERFA-2018-00032  Szigeterdei Közösségi Tér kialakítása</t>
  </si>
  <si>
    <t>10. TOP-3.2.1-16-TL1-2018-00029 Dombóvári József Attila Általános Iskola energetikai korszerűsítése</t>
  </si>
  <si>
    <t>11. TOP-1.1.1-16-TL1-2017-00002  Tüskei iparterület fejlesztése és új iparterület kialakítása</t>
  </si>
  <si>
    <t>12. TOP-2.1.3-16-TL1-2021-00023 Dombóvár, Ady Endre utca csapadékvízelvezető rendszer rekonstrukciója</t>
  </si>
  <si>
    <t>13. TOP-2.1.3-16-TL1-2021-00024 Dombóvár, Fő utca csapadékvíz-elvezető rendszer rekonstrukciója I. ütem – nyugati utcarész</t>
  </si>
  <si>
    <t>14. TOP-2.1.3-16-TL1-2021-00025 Dombóvár, Fő utca csapadékvíz-elvezető rendszer rekonstrukciója II. ütem – keleti utcarész</t>
  </si>
  <si>
    <t>15. Parkoló kialakítása Járási Hivatal mögött, a rendőrség mellett</t>
  </si>
  <si>
    <t>16. Térségi Szabadidő- és Sportcentrum kialakítása</t>
  </si>
  <si>
    <t>17. Tüskei tónál pihenő ház tervezése, kivitelezése</t>
  </si>
  <si>
    <t>18. Bölcsődei fejlesztési program</t>
  </si>
  <si>
    <t>19. Új játszótér kialakítása</t>
  </si>
  <si>
    <t>20. Szuhay Sportcentrum világítás korszerűsítés</t>
  </si>
  <si>
    <t>21. Országos Bringapark Program 2022 pályázat</t>
  </si>
  <si>
    <t>1. Játszóterek felülvizsgálata, a szükséges és lehetséges javítási, felújítási munkák elvégzése</t>
  </si>
  <si>
    <t>2.TOP-3.2.1-16-TL1-2018-00029 Dombóvári József Attila Általános Iskola energetikai korszerűsítése</t>
  </si>
  <si>
    <t>3. TOP-4.1.1-15-TL1-2020-00028 Dombóvár, Szabadság u. 2. szám alatti orvosi rendelő felújítása</t>
  </si>
  <si>
    <t>4. TOP-4.3.1-15-TL1-2016-00002 Mászlony - oázis az agrársivatagban</t>
  </si>
  <si>
    <t>5. TOP-4.3.1-15-TL1-2016-00003 A dombóvári Szigetsor-Vasút szegregátumok rehabilitációja</t>
  </si>
  <si>
    <t>6. TOP-4.3.1-15-TL1-2016-00004 DARK projekt</t>
  </si>
  <si>
    <t>7. Víziközmű fejlesztés</t>
  </si>
  <si>
    <t>8. Pannónia út 7. szám alatti önkormányzati lakóépület felújítása</t>
  </si>
  <si>
    <t>9. Platán tér 1-3-5. épület villamos hálózat felújítás</t>
  </si>
  <si>
    <t>10. Teleki u. 14. sz. alatti önkormányzati lakóépület nyílászáróinak cseréje</t>
  </si>
  <si>
    <t>11. Új térkőburkolatú járda építése az Erzsébet utcában</t>
  </si>
  <si>
    <t>12. JAM csarnoknál új személyi bejárat kialakítás (Kinizsi u. 37.)</t>
  </si>
  <si>
    <t>13. Bölcsődei fejlesztési program</t>
  </si>
  <si>
    <t>14. Kiviteli terv a volt zeneiskola épületének felújítására</t>
  </si>
  <si>
    <t>1.1. Német Nemzetiségi Önkormányzat részére pályázati önrész biztosítása</t>
  </si>
  <si>
    <t>3.1. TOP-7.1.1-16-H-ERFA-2018-00032  Szigeterdei Közösségi Tér kialakítása tartalék</t>
  </si>
  <si>
    <t>3.2. TOP-1.1.1-16-TL1-2017-00002  Tüskei iparterület fejlesztése és új iparterület kialakítása tartalék</t>
  </si>
  <si>
    <t>3.3. TOP-2.1.3-16-TL1-2021-00023 Dombóvár, Ady Endre utca csapadékvízelvezető rendszer rekonstrukciója</t>
  </si>
  <si>
    <t>3.4. TOP-2.1.3-16-TL1-2021-00024 Dombóvár, Fő utca csapadékvíz-elvezető rendszer rekonstrukciója I. ütem – nyugati utcarész</t>
  </si>
  <si>
    <t>3.5. TOP-2.1.3-16-TL1-2021-00025 Dombóvár, Fő utca csapadékvíz-elvezető rendszer rekonstrukciója II. ütem – keleti utcarész</t>
  </si>
  <si>
    <t>3.6. Önerő - önkormányzati feladatellátást szolgáló fejlesztések 2022. évi pályázathoz</t>
  </si>
  <si>
    <t>3.7. Önrész KEHOP-2.1.11. pályázathoz</t>
  </si>
  <si>
    <t>Felhalmozási célú átvett pénzeszközök</t>
  </si>
  <si>
    <t>Működési célú átvett pénzeszközök</t>
  </si>
  <si>
    <t>2022. 01.01. nyitóállomány</t>
  </si>
  <si>
    <t>2029.</t>
  </si>
  <si>
    <t>2022. évi nyitó</t>
  </si>
  <si>
    <t>2022. évi növekedés</t>
  </si>
  <si>
    <t>Csökkenés 2022-ban</t>
  </si>
  <si>
    <t>Csökkenés 2023-ben</t>
  </si>
  <si>
    <t>Csökkenés 2024-ben</t>
  </si>
  <si>
    <t>Több évre kihatással járó kötelezettségvállalások 2021-2022. évi kifizetései (Dombóvári Közös Önkormányzati Hivatal)</t>
  </si>
  <si>
    <t>Várható összeg (Ft/év) 2022.</t>
  </si>
  <si>
    <t>Összeg (Ft/év)  2021</t>
  </si>
  <si>
    <t>gépjármű-felelősség biztosítás / Derbi segédmotor, XYD, LKU, LOX,THA/, Casco / EIE, LKU/SUZUKI-THA</t>
  </si>
  <si>
    <t>rendszerhasználati díj-hivatali épületek+szakcs</t>
  </si>
  <si>
    <t>Postafiók bérlet</t>
  </si>
  <si>
    <t>Több évre kihatással járó kötelezettségvállalások 2021-2022. évi kifizetései (Dombóvár Város Önkormányzata)</t>
  </si>
  <si>
    <t>Összeg (Ft/év)  2021.</t>
  </si>
  <si>
    <t>Agrokemi Rt.</t>
  </si>
  <si>
    <t>2021.12.31. (évente új szerződés)</t>
  </si>
  <si>
    <t>Allianz Hungária Zrt.</t>
  </si>
  <si>
    <t>casco - AHB952289006 gfb - SSE-546</t>
  </si>
  <si>
    <t>AU.ROOM Építész Műhely Kft.</t>
  </si>
  <si>
    <t>Ady u., Fő u. Ny-i rész és Fő u. K-i utcarész csapadékvíz-elvezető rendszer rekonstrukciójához kapcsolódó építészeti- és tájépítészeti vázlattervek elkészítése komplex vizualizációs tartalommal</t>
  </si>
  <si>
    <t>2022.12.31 (évente új szerződés)</t>
  </si>
  <si>
    <t>Balla Brigitta ev.</t>
  </si>
  <si>
    <t>Dombóvári Százszorszép Óvoda Tündérkert Bölcsődéjének felújítása során műszaki ellenőri feladatok ellátása</t>
  </si>
  <si>
    <t>Baudai Építőipari Szolgáltató és Kereskedelmi Kft.</t>
  </si>
  <si>
    <t>I. részajánlati kör: Szociális bérlakások felújítása - TOP-4.3.1-15-TL1-2016-00004 DARK - Kakasdomb-Erzsébet u.</t>
  </si>
  <si>
    <t>II. részajánlati kör: Közösségi szőlészeti oktatóközpont és gazdasági tároló épület kialakítása - TOP-4.3.1-15-TL1-2016-00004 DARK - Kakasdomb-Erzsébet u.</t>
  </si>
  <si>
    <t>III. részajánlati kör: volt népkonyha épületének bontása - TOP-4.3.1-15-TL1-2016-00004 DARK - Kakasdomb-Erzsébet u.</t>
  </si>
  <si>
    <t>József Attila Általános Iskola energetikai korszerűsítése-TOP-3.2.1-16-TL1-2019-00029</t>
  </si>
  <si>
    <t>I. részajánlati kör: Szigetsor-Vasút szegregátumok rehabilitációja_III. - TOP-4.3.1-15-TL1-2016-00003</t>
  </si>
  <si>
    <t>munkaterület átadásától számított 270 naptári nap</t>
  </si>
  <si>
    <t>II. részajánlati kör: Szigetsor-Vasút szegregátumok rehabilitációja_III. - TOP-4.3.1-15-TL1-2016-00003</t>
  </si>
  <si>
    <t>32 m3-es konténer bérlete-Lucza hegyi hulladékudvar (zöldhulladékhoz), 15 m3-es konténer bérlete-Lucza hegyi hulladékudvar (padkaszemét gyűjtéséhez), 7 m3-es konténer bérlete-Lucza hegy (építési törmelékhez)</t>
  </si>
  <si>
    <t xml:space="preserve">Építési törmelék szállítása, ártalmatlanítása </t>
  </si>
  <si>
    <t>Csiszár László ev.</t>
  </si>
  <si>
    <t>Platán tér 1-3-5. társasház villamos méretlen fővezeték, villamos mérőhelyek, valamint mért fővezetékek felújítása mindhárom lépcsőházban</t>
  </si>
  <si>
    <t>DOMBÓ ABLAK Kereskedelmi és Szolgáltató Kft.</t>
  </si>
  <si>
    <t>Teleki u. 14. (Fecskeház) nyílászáróinak cseréje</t>
  </si>
  <si>
    <t>Dombó-Coop Zrt.</t>
  </si>
  <si>
    <t>védett épület felújításához támogatás</t>
  </si>
  <si>
    <t>DOMBÓ-LAND KFT.</t>
  </si>
  <si>
    <t>saját teljesítésű feladatok ellátása a KEHOP-5.4.1-16-2016-00131 pályázat keretében</t>
  </si>
  <si>
    <t>közös ktg-Pannónia u. 34., 38. (hőközpontok), Pannónia u. 25.3. (raktár)</t>
  </si>
  <si>
    <t>közös ktg.-bérlakások (Liget ltp. 6/B., Pannónia u. 14. 2/5.)</t>
  </si>
  <si>
    <t>bérlakások fűtése</t>
  </si>
  <si>
    <t>Erzsébet u. 24. számtól a Rákóczi Fl. Utcáig terjedően új, térkőborkolatú járda készítése</t>
  </si>
  <si>
    <t>Dombőr Kft.</t>
  </si>
  <si>
    <t>portaszolgálat-Szabadság u. 18.</t>
  </si>
  <si>
    <t>Eco Smart Group Szolgáltató és Kereskedelmi Kft.</t>
  </si>
  <si>
    <t>mobil jégpálya bérlete-2021.11.28-2022.01.31.</t>
  </si>
  <si>
    <t>Elektromotive Hungaria Kft.</t>
  </si>
  <si>
    <t>Hunyadi tér 782/6. hrsz. (elektromos autótöltő) karbantartása</t>
  </si>
  <si>
    <t>Gemenc Bau Tolna Építőipari és Szolgáltató Kft.</t>
  </si>
  <si>
    <t>Újdombóvári utcanyitásokhoz kapcsolódó víziközmű (víz, szennyvíz) tervezési feladatok</t>
  </si>
  <si>
    <t>vízjogi létesítési engedély megszerzésétől számított 60 nap</t>
  </si>
  <si>
    <t>Hajós Építész Iroda Kft.</t>
  </si>
  <si>
    <t>Dombóvári Szabadidő- és Sportcentrum tervezése</t>
  </si>
  <si>
    <t>Halász József</t>
  </si>
  <si>
    <t>IMOBAU Építőipari Kft.</t>
  </si>
  <si>
    <t>Bölcsőde felújítási munkálatai</t>
  </si>
  <si>
    <t>ITA BONUM Kft.</t>
  </si>
  <si>
    <t>Közgbeszerzési eljárás lebonyoolítása: Dombóvár, Ady E. u. csapadékvíz elvezető rendszer rekonstrukciója - TOP-2.1.3-16-TL1-2021-00023</t>
  </si>
  <si>
    <t>közbeszerzés eredményes lefolytatásáig</t>
  </si>
  <si>
    <t>Közgbeszerzési eljárás lebonyoolítása: Dombóvár, Fő u. I. ütem nyugati utcarész csapadékvíz elvezető rendszer rekonstrukciója - TOP-2.1.3-16-TL1-2021-00024</t>
  </si>
  <si>
    <t>Közgbeszerzési eljárás lebonyoolítása: Dombóvár, Fő u. II. ütem keleti utcarész csapadékvíz elvezető rendszer rekonstrukciója - TOP-2.1.3-16-TL1-2021-00025</t>
  </si>
  <si>
    <t>Juhász-Terv Tervező és Vállalkozó Bt.</t>
  </si>
  <si>
    <t>Újdombóvári utcanyitásokhoz kapcsolódó közlekedési építmények és csapadékvíz elvezetés engedélyezési és kiviteli terveinek elkészítése</t>
  </si>
  <si>
    <t>építési engedély megszerzésétől számított 60 naptári nap</t>
  </si>
  <si>
    <t>építési-szerelési munkák-TOP-4.3.1-15-TL1-2016-00003 Szigetsor-Vasút szegregátumok rehabilitációja</t>
  </si>
  <si>
    <t>Pannónia u. 7. szám alatti épület függőfolyosó és erkélyek kialakításával történő homlokzat és lapostető felújításához szükséges engedélyezési és kiviteli tervek elkészítése</t>
  </si>
  <si>
    <t>építési engedély megszerzésétől számított 90 naptári nap</t>
  </si>
  <si>
    <t>Műszaki ellenőri feladatok ellátása a József Attila Általános Iskola energetikai korszerűsítése során a TOP-3.2.1-16-TL1-2019-00029 projekt keretében</t>
  </si>
  <si>
    <t>Kiviteli terv és a hozzá kapcsolódó tételes árazott és árazatlan költségvetés elkészítése a Dombóvár, Szabadság u. 2. szám alatti orvosi rendelő felújításához a TOP-4.1.1-15-TL1-2020-00028 projekt keretében</t>
  </si>
  <si>
    <t>műszaki ellenőri feladatok ellátása a TOP-4.3.1-15-TL1-2016-00003 Szigetsor-Vasút szegregátumok rehabilitációja projektben</t>
  </si>
  <si>
    <t>Magyar Bölcsődék Egyesülete</t>
  </si>
  <si>
    <t>módszertani szakértői feladatok-"Bölcsődei fejlesztési program" c. pályázati felhívásra támogatási kérelem benyújtásához</t>
  </si>
  <si>
    <t>Magyarországi Metodista Egyház</t>
  </si>
  <si>
    <t>2021.12.31 (évente új szerződés)</t>
  </si>
  <si>
    <t>MSB Fejlesztési Tanácsadó Zrt.</t>
  </si>
  <si>
    <t>Fenntartható Városfejlesztési Stratégia (FVS) elkészítése, valamint a TOP Plusz Városfejlesztési Programterv (TVP) elkészítésében való szakértői részvétel</t>
  </si>
  <si>
    <t>Tolna Megyei Területspecifikus mellékletben meghatározott támogatás iránti kérelem benyújtásihatáridő</t>
  </si>
  <si>
    <t>térfigyelő kamerarendszer és térfigyelő központ féléves ciklusonkénti karbantartása és hibajavítása</t>
  </si>
  <si>
    <t>gáz-bérlakások, Szabadság u. 4.</t>
  </si>
  <si>
    <t>Népköztársaság u. 40. Társasház</t>
  </si>
  <si>
    <t>közös költség-Pannónia út 40. fsz/1. (raktárként használt üzlethelyiség)</t>
  </si>
  <si>
    <t>Őri Gábor e.v.</t>
  </si>
  <si>
    <t>rendezvényekhez kapcsolódó szolgáltatások: grafikai anyagok tervezése, fotódokumentáció készítése...</t>
  </si>
  <si>
    <t>Ragó Roland Károly ev.</t>
  </si>
  <si>
    <t>Pannónia utcai parkolók közlekedésépítési tervezéséhez kapcsolódó mélyépítési munkák engedélyezési és kiviteli terveinek elkészítése</t>
  </si>
  <si>
    <t>Rozsusa-Bau Kft.</t>
  </si>
  <si>
    <t>Magasépítési munkák-TOP-4.3.1-15-TL1-2016-00002 Mászlony 1. részajánlati kör</t>
  </si>
  <si>
    <t>Magasépítési munkák-TOP-4.3.1-15-TL1-2016-00002 Mászlony 2. részajánlati kör</t>
  </si>
  <si>
    <t>Swietelsky Magyarország Kft.</t>
  </si>
  <si>
    <t>belterületi utak felújítása-I. rész: Horvay u. (3806. hrsz.)</t>
  </si>
  <si>
    <t>belterületi utak felújítása-II. rész: Kórház u. (2933. hrsz.)</t>
  </si>
  <si>
    <t>belterületi utak felújítása-III. rész: Széchenyi u. (679. hrsz.)</t>
  </si>
  <si>
    <t>Szent Orsolya Rendi Bencés Általános Iskola, Alapfokú Művészeti Iskola és Kollégium</t>
  </si>
  <si>
    <t>diák helyi-járatos bérlet-települési támogatás</t>
  </si>
  <si>
    <t>diák helyi-járatos bérlet-települési támogatás (Illyés Gyula Gimnázium, József Attila Ált. Iskola., Belvárosi Ált. Iskola)</t>
  </si>
  <si>
    <t>TANK-SZER Kft</t>
  </si>
  <si>
    <t>üzemanyag-Szuhay SC (SSE-546, traktorok)</t>
  </si>
  <si>
    <t>Internet előfizetési díj-Szuhay Sportcentrum, Hunyadi tér 23-25., Fő u. 36. (free wi-fi)</t>
  </si>
  <si>
    <t xml:space="preserve"> Tárnok-Trans Kft.</t>
  </si>
  <si>
    <t>Tárnok Zoltán</t>
  </si>
  <si>
    <t>Sporttal kapcsolatos tanácsadói tevékenység</t>
  </si>
  <si>
    <t>Társasház Hunyadi tér 30-32.</t>
  </si>
  <si>
    <t>közös költség-Hunyadi tér 30-32. (6 üzlethelyiség)</t>
  </si>
  <si>
    <t>Társasház Hunyadi tér 37-41. Népköztársaság 52-56.</t>
  </si>
  <si>
    <t>Pannónia u. 56. rendelő közös ktg.-fel.ellátási szerz. alap.-2021. közös költség-Pannónia u. 54., Pannónia u. 56. (bérlakások)</t>
  </si>
  <si>
    <t>közös költség-Liget ltp. 5./A, B, C lépcsőházak (bérlakások)</t>
  </si>
  <si>
    <t>Tender Terv Kft.</t>
  </si>
  <si>
    <t>Dombóvár csapadékvíz elvezető rendszer rekonstrukciójának tervezése 1. rész (Ady u.) - TOP-2.1.3-16-TL1-2021-00023</t>
  </si>
  <si>
    <t>Dombóvár csapadékvíz elvezető rendszer rekonstrukciójának tervezése 2. rész (Fő u. I. ütem) - TOP-2.1.3-16-TL1-2021-00024</t>
  </si>
  <si>
    <t>Dombóvár csapadékvíz elvezető rendszer rekonstrukciójának tervezése 3. rész (Fő u. II. ütem) - TOP-2.1.3-16-TL1-2021-00025</t>
  </si>
  <si>
    <t>Útvonal 2002 Bt.</t>
  </si>
  <si>
    <t>mélyépítés TOP-4.3.1-15-TL1-2016-00003 Szigetsor-Vasút - műszaki ellenőri feladatok ellátása</t>
  </si>
  <si>
    <t>VIKUV AQUA Kft.</t>
  </si>
  <si>
    <t>Dombóvár N/5 kút melléfúrásos felújításának tervezési munkái</t>
  </si>
  <si>
    <t>2025. év</t>
  </si>
  <si>
    <t>önkormányzati sajáterő</t>
  </si>
  <si>
    <t>Többlettámogatás - még nincs jóváhagyva</t>
  </si>
  <si>
    <t>TOP-2.1.3-00023</t>
  </si>
  <si>
    <t>DOMBÓVÁR, Ady Endre utca csapadékvíz elvezető rendszer rekonstrukciója</t>
  </si>
  <si>
    <t>TOP-2.1.3-00024</t>
  </si>
  <si>
    <t>DOMBÓVÁR, Fő utca csapadékvíz elvezető rendszer rekonstrukciója I. ütem - nyugati utcarész</t>
  </si>
  <si>
    <t>TOP-2.1.3-00025</t>
  </si>
  <si>
    <t>DOMBÓVÁR, Fő utca csapadékvíz elvezető rendszer rekonstrukciója II. ütem - keleti utcarész</t>
  </si>
  <si>
    <t>túligénylés, ill. előleg visszautalása</t>
  </si>
  <si>
    <t>túlfizetés, ill. el nem számolt előleg visszautalása</t>
  </si>
  <si>
    <t xml:space="preserve">támogatás visszafizetés </t>
  </si>
  <si>
    <t>2022. évi szociális, jóléti és egészségügyi juttatás</t>
  </si>
  <si>
    <t>Maradvány igénybevétele</t>
  </si>
  <si>
    <t>Intézmények finanszírozása 2022. évben</t>
  </si>
  <si>
    <t>Dombóvár Város Önkormányzata 2022. évi előirányzat felhasználási terve</t>
  </si>
  <si>
    <t>129/2021. (IV. 30.) határozat</t>
  </si>
  <si>
    <t>211/2021. (VI. 30.) Kt. határozat</t>
  </si>
  <si>
    <t>212/2021. (VI. 30.) Kt. határozat</t>
  </si>
  <si>
    <t>Dombóvár, Földvár utcában található, dombóvári 1882/2 hrsz. alatt felvett „volt MÁV étkezde” ingatlan területén, a Szigeterdő mellett elhelyezkedő, 1.350 m2 nagyságú teniszpálya térítésmentes használata – az érintett terület fenntartásával és karbantartásával kapcsolatos költségek Egyesület részéről történő viselése mellett – 2031. április 30-ig</t>
  </si>
  <si>
    <t>PASZ Dombóvári Amatőr Sportegyesület</t>
  </si>
  <si>
    <t>Dombóvári Városi Horgász Egyesület</t>
  </si>
  <si>
    <t>az önkormányzat 2021. május 14. napjától 2028. január 1. napjáig térítésmentesen biztosítja a Kis-Konda-patak völgyében található, dombóvári 058 hrsz.-ú külterületi ingatlan használata azzal, hogy az ingatlannal kapcsolatban felmerülő valamennyi költséget – beleértve a „Városi Civil Alapok támogatása 2021” elnevezésű pályázat alapján állami támogatásból megvalósítani kívánt beruházás költségeit, valamint az építmények vonatkozásában a fenntartási és a közüzemi költségeket is –, illetve a működtetési kötelezettséget az Egyesület viseli, továbbá azon a közforgalmú gyalogos és kerékpáros közlekedést köteles az eddigiek szerint lehetővé tenni</t>
  </si>
  <si>
    <t>Dombóvár, Pannónia út 21. szám alatti ingatlanon található - a Tolna Megyei SZC Esterházy Miklós Szakképző Iskola és Kollégiumhoz tartozó - Buzánszky Jenő Sportkomplexum műfüves pályája és kültéri öltöző épülete tekintetében 2021. május 1. napjától 2028. január 1. napjáig térítésmentes használata (a közüzemi és működtetési költségeket az Egyesület köteles viselni az ingatlan vagyonkezelőjével együttműködve)</t>
  </si>
  <si>
    <t>130/2021. (IV. 30.) határozat
162/2021. (V. 28.) határozat</t>
  </si>
  <si>
    <t>129/2020. (XII. 18.) határozat
133/2021. (IV. 30.) határozat
163/2021. (V. 28.) határozat</t>
  </si>
  <si>
    <t>151/2021. (V. 14.) határozat
164/2021. (V. 28.) határozat</t>
  </si>
  <si>
    <t>Dombóvár, Kinizsi utca 37. szám alatti Lampert Gábor Edzőterem térítésmentes használata 2021. január 16-tól 2028. január 1-ig, a közüzemi és a további működtetési költségeket az egyesület köteles viselni</t>
  </si>
  <si>
    <t>Dombóvári Lövész Egyesület</t>
  </si>
  <si>
    <t>a Farkas Attila Uszodát magába foglaló 1358 hrsz.-ú ingatlanon található „lőtér, egyéb” megnevezésű épületnek lőtér funkciójú termét 2021. július 1. napjától – 5 éves határozott időtartamú térítésmentes használata</t>
  </si>
  <si>
    <t>a Farkas Attila Uszodát magába foglaló 1358 hrsz.-ú ingatlanon található „lőtér, egyéb” megnevezésű épületnek az edzőterem funkciójú termét 2021. július 1. napjától – 5 éves határozott időtartamú térítésmentes használata</t>
  </si>
  <si>
    <t>Dombóvári Sportiskola Egyesület</t>
  </si>
  <si>
    <t>287/2021. (XI. 30.) Kt. határozat</t>
  </si>
  <si>
    <t>Szigeterdőben – dombóvári 1882/6 hrsz.-ú kivett közpark, lakótorony megnevezésű ingatlanon – található lakótorony térítésmentes használata haszonkölcsön-szerződéssel – 2022. január 1-től
2026. december 31-ig – működtetésre, téglagyűjteményének bemutatására. Az összes üzemeltetési költséget az önkormányzat köteles viselni.</t>
  </si>
  <si>
    <t>128/2020. (XII. 18.) határozat
324/2021. (XII. 17.) Kt. határozat</t>
  </si>
  <si>
    <t>Katona József u. 37. szám alatti Ujvári Kálmán Sporttelep térítésmentes használata 2022. december 31. napjáig, közüzemi és a további működtetési költségeket az egyesület köteles viselni</t>
  </si>
  <si>
    <t>69/2021. (II. 26.) határozat</t>
  </si>
  <si>
    <t>Dombóvári Roma Közhasznú
Alapítvány és az Országos Roma Felemelkedésért Misszió</t>
  </si>
  <si>
    <t>Dombóvár, Szabadság utca 4. szám alatti ingatlanban térítésmentes
helyiséghasználat – a közüzemi költségek rájuk eső részének fedezése mellett – két tanterem, egy tanári szoba, kiskonyha, nemenként elkülönített mosdó és egy ügyfélfogadó iroda vonatkozásában</t>
  </si>
  <si>
    <t>Tulajdonjog, illetve haszonélvezeti jog alapján a kedvezmény 1.828 adózót, a mentesség 1.416 adózót érintett az előző évben.</t>
  </si>
  <si>
    <t>1.4. Dombóvári Szászorszép Óvoda és Bölcsöde</t>
  </si>
  <si>
    <t>2.5.3. Önkormányzat (víziközmű)</t>
  </si>
  <si>
    <t xml:space="preserve">Köztisztviselői képzés hozzájárulás </t>
  </si>
  <si>
    <t>mobil távközlési szolgáltatások és mobil telefonok vásárlása, és uszoda</t>
  </si>
  <si>
    <t>2. melléklet a 4/2022. (II. 14.) önkormányzati rendelethez</t>
  </si>
  <si>
    <t>3. melléklet az 4/2022. (II. 14.) önkormányzati rendelethez</t>
  </si>
  <si>
    <t>4. melléklet az 4/2022. (II. 14.) önkormányzati rendelethez</t>
  </si>
  <si>
    <t>6. melléklet a 4/2022. (II. 14.) önkormányzati rendelethez</t>
  </si>
  <si>
    <t>7. melléklet a 4/2022. (II. 14.) önkormányzati rendelethez</t>
  </si>
  <si>
    <t>8. melléklet a 4/2022. (II. 14.) önkormányzati rendelethez</t>
  </si>
  <si>
    <t>9. melléklet a 4/2022. (II. 14.) önkormányzati rendelethez</t>
  </si>
  <si>
    <t>10. melléklet a 4/2022. (II. 14.) önkormányzati rendelethez</t>
  </si>
  <si>
    <t>5. melléklet az 4/2022. (II. 14.) önkormányzati rendelethez</t>
  </si>
  <si>
    <t>5.melléklet a 4/2022. (II. 14.) önkormányzati rendelethez</t>
  </si>
  <si>
    <t>5. melléklet a 4/2022. (II. 14.)  önkormányzati rendelethez</t>
  </si>
  <si>
    <t>2.2. Dombó-Land Kft. tagi kölcsön visszafizetés</t>
  </si>
  <si>
    <t>2.11. TOP-3.2.1-15-TL1-2016-00025 pályázat támogatás visszafizetésre Tamási Tankerületi Központtól</t>
  </si>
  <si>
    <t>2.10. Wifi4EU pályázat</t>
  </si>
  <si>
    <t>1.12. Társulás nettósítási különbözet</t>
  </si>
  <si>
    <t>3.1. Belterületi utak felújítása</t>
  </si>
  <si>
    <t>1.3.2. Egészségügyi kiegészítő pótlék kifizetéséhez támogatás</t>
  </si>
  <si>
    <t>1.3.1. Szociális ágazati összevont pótlék kifizetéséhez támogatás</t>
  </si>
  <si>
    <t>2. Népszámlálásra</t>
  </si>
  <si>
    <t>1. Országgyűlési választásra</t>
  </si>
  <si>
    <t>5. NKA pályázat támogatás</t>
  </si>
  <si>
    <t>4. Kormányhivatal bértámogatás</t>
  </si>
  <si>
    <t>3. Közfoglalkoztatás támogatása</t>
  </si>
  <si>
    <t>2. Választási bizottság tag átlagbér támogatás</t>
  </si>
  <si>
    <t>Módosított előirányzat</t>
  </si>
  <si>
    <t>1. sz. módosítás</t>
  </si>
  <si>
    <t>Eredeti előirányzat</t>
  </si>
  <si>
    <t xml:space="preserve">1. melléklet a 4/2022. (II. 14.) önkormányzati rendelethez </t>
  </si>
  <si>
    <t>(Módosította a 19/2022. (VI. 30.) R., hatályba lép: 2022. július 1.)</t>
  </si>
  <si>
    <t>1. Közfoglalkoztatás támogatás visszafizetése</t>
  </si>
  <si>
    <t>Egyéb működési célú kiadások összesen:</t>
  </si>
  <si>
    <t>4. Konyha kisértékű tárgyi eszköz</t>
  </si>
  <si>
    <t>2. Konyha kisértékű tárgyi eszköz</t>
  </si>
  <si>
    <t>4. Országgyűlési választás kisértékű tárgyi eszköz</t>
  </si>
  <si>
    <t>6. Védőnők</t>
  </si>
  <si>
    <t>60. Szuhay Sportcentrum világítás korszerűsítés</t>
  </si>
  <si>
    <t>61. Térzene Dombóváron pályázat kiadásai</t>
  </si>
  <si>
    <t>62. Védőnőkkel kapcsolatos dologi kiadások</t>
  </si>
  <si>
    <t>1.7. Társulás nettósítási különbözet</t>
  </si>
  <si>
    <t>1.8. Humanitárius segély a kárpátaljai magyarok, ukrajnai menekültek megsegítésére</t>
  </si>
  <si>
    <t>6. Működési célú visszatérítendő támogatások, kölcsönök nyújtása államháztartáson kívülre</t>
  </si>
  <si>
    <t>6.1. Dombó-Land Kft. részére kamatmentes tagi kölcsön</t>
  </si>
  <si>
    <t>22. Wifi4EU pályázat</t>
  </si>
  <si>
    <t>23. Befejezetlen újdombóvári utcanyitásokhoz kapcsolódó tervezési feladatok</t>
  </si>
  <si>
    <t>24. Útépítés (2888/5. hrsz)</t>
  </si>
  <si>
    <t>15. Belterületi utak felújítása</t>
  </si>
  <si>
    <t>16. Platán tér 1-3-5. tetőtéri nyílászáróinak cseréje</t>
  </si>
  <si>
    <t>17. József Attila Általános Iskola étkező hidegburkolási munkái</t>
  </si>
  <si>
    <t>18. Szuhay SC tető vízszigetelési és bádogozási munkái</t>
  </si>
  <si>
    <t>1.2. TOP-3.2.1-15-TL1-2016-00025 pályázat támogatás visszafizetés</t>
  </si>
  <si>
    <t>2.4. Dombó-Land Kft. részére pótbefizetés</t>
  </si>
  <si>
    <t>mód. ei.</t>
  </si>
  <si>
    <t>2.melléklet az 4/2022. (II. 14.) önkormányzati rendelethez</t>
  </si>
  <si>
    <t>2022. mód. ei.</t>
  </si>
  <si>
    <t>(Módosította a 19/2022. (VI. 30.) R., hatályba lép: 2022. j úlius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</si>
</sst>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Ft&quot;_-;\-* #,##0.00\ &quot;Ft&quot;_-;_-* &quot;-&quot;??\ &quot;Ft&quot;_-;_-@_-"/>
    <numFmt numFmtId="43" formatCode="_-* #,##0.00_-;\-* #,##0.00_-;_-* &quot;-&quot;??_-;_-@_-"/>
    <numFmt numFmtId="164" formatCode="_-* #,##0\ _F_t_-;\-* #,##0\ _F_t_-;_-* &quot;-&quot;\ _F_t_-;_-@_-"/>
    <numFmt numFmtId="165" formatCode="0.0%"/>
    <numFmt numFmtId="166" formatCode="0.0"/>
    <numFmt numFmtId="167" formatCode="#,##0.0000"/>
    <numFmt numFmtId="168" formatCode="#,##0_ ;\-#,##0\ "/>
    <numFmt numFmtId="169" formatCode="_-* #,##0_-;\-* #,##0_-;_-* &quot;-&quot;??_-;_-@_-"/>
  </numFmts>
  <fonts count="74"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0"/>
      <name val="Arial CE"/>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b/>
      <sz val="13"/>
      <name val="Times New Roman"/>
      <family val="1"/>
      <charset val="238"/>
    </font>
    <font>
      <sz val="13"/>
      <name val="Times New Roman"/>
      <family val="1"/>
      <charset val="238"/>
    </font>
    <font>
      <i/>
      <sz val="13"/>
      <name val="Times New Roman"/>
      <family val="1"/>
      <charset val="238"/>
    </font>
    <font>
      <b/>
      <i/>
      <sz val="13"/>
      <name val="Times New Roman"/>
      <family val="1"/>
      <charset val="238"/>
    </font>
    <font>
      <b/>
      <sz val="15"/>
      <name val="Times New Roman"/>
      <family val="1"/>
      <charset val="238"/>
    </font>
    <font>
      <sz val="10"/>
      <name val="Times New Roman"/>
      <family val="1"/>
      <charset val="238"/>
    </font>
    <font>
      <i/>
      <sz val="10"/>
      <name val="Times New Roman"/>
      <family val="1"/>
      <charset val="238"/>
    </font>
    <font>
      <b/>
      <i/>
      <sz val="10"/>
      <name val="Times New Roman"/>
      <family val="1"/>
      <charset val="238"/>
    </font>
    <font>
      <b/>
      <sz val="10"/>
      <name val="Times New Roman"/>
      <family val="1"/>
      <charset val="238"/>
    </font>
    <font>
      <sz val="10"/>
      <name val="Arial CE"/>
      <family val="2"/>
      <charset val="238"/>
    </font>
    <font>
      <i/>
      <sz val="10"/>
      <name val="Arial"/>
      <family val="2"/>
      <charset val="238"/>
    </font>
    <font>
      <sz val="11"/>
      <name val="Times New Roman"/>
      <family val="1"/>
      <charset val="238"/>
    </font>
    <font>
      <i/>
      <sz val="11"/>
      <name val="Times New Roman"/>
      <family val="1"/>
      <charset val="238"/>
    </font>
    <font>
      <b/>
      <sz val="11"/>
      <name val="Times New Roman"/>
      <family val="1"/>
      <charset val="238"/>
    </font>
    <font>
      <b/>
      <i/>
      <sz val="11"/>
      <name val="Times New Roman"/>
      <family val="1"/>
      <charset val="238"/>
    </font>
    <font>
      <b/>
      <sz val="11"/>
      <name val="Arial CE"/>
      <charset val="238"/>
    </font>
    <font>
      <sz val="10"/>
      <name val="Arial"/>
      <family val="2"/>
      <charset val="238"/>
    </font>
    <font>
      <sz val="12"/>
      <name val="Times New Roman"/>
      <family val="1"/>
      <charset val="238"/>
    </font>
    <font>
      <sz val="9"/>
      <name val="Arial"/>
      <family val="2"/>
      <charset val="238"/>
    </font>
    <font>
      <sz val="9"/>
      <name val="Times New Roman"/>
      <family val="1"/>
      <charset val="238"/>
    </font>
    <font>
      <b/>
      <sz val="9"/>
      <name val="Times New Roman"/>
      <family val="1"/>
      <charset val="238"/>
    </font>
    <font>
      <b/>
      <i/>
      <sz val="9"/>
      <name val="Times New Roman"/>
      <family val="1"/>
      <charset val="238"/>
    </font>
    <font>
      <i/>
      <sz val="9"/>
      <name val="Times New Roman"/>
      <family val="1"/>
      <charset val="238"/>
    </font>
    <font>
      <b/>
      <sz val="12"/>
      <name val="Times New Roman"/>
      <family val="1"/>
      <charset val="238"/>
    </font>
    <font>
      <b/>
      <i/>
      <sz val="10"/>
      <name val="Arial"/>
      <family val="2"/>
      <charset val="238"/>
    </font>
    <font>
      <sz val="10"/>
      <name val="Times New Roman CE"/>
      <family val="1"/>
      <charset val="238"/>
    </font>
    <font>
      <b/>
      <sz val="10"/>
      <name val="Times New Roman CE"/>
      <family val="1"/>
      <charset val="238"/>
    </font>
    <font>
      <b/>
      <sz val="10"/>
      <name val="Times New Roman CE"/>
      <charset val="238"/>
    </font>
    <font>
      <sz val="10"/>
      <name val="Times New Roman CE"/>
      <charset val="238"/>
    </font>
    <font>
      <sz val="11"/>
      <name val="Times New Roman CE"/>
      <family val="1"/>
      <charset val="238"/>
    </font>
    <font>
      <b/>
      <sz val="11"/>
      <name val="Times New Roman CE"/>
      <family val="1"/>
      <charset val="238"/>
    </font>
    <font>
      <sz val="11"/>
      <name val="Times New Roman CE"/>
      <charset val="238"/>
    </font>
    <font>
      <i/>
      <sz val="11"/>
      <name val="Times New Roman CE"/>
      <family val="1"/>
      <charset val="238"/>
    </font>
    <font>
      <b/>
      <sz val="10"/>
      <name val="Arial"/>
      <family val="2"/>
      <charset val="238"/>
    </font>
    <font>
      <b/>
      <sz val="14"/>
      <name val="Times New Roman CE"/>
      <family val="1"/>
      <charset val="238"/>
    </font>
    <font>
      <sz val="14"/>
      <name val="Times New Roman CE"/>
      <family val="1"/>
      <charset val="238"/>
    </font>
    <font>
      <i/>
      <sz val="9"/>
      <name val="Times New Roman CE"/>
      <charset val="238"/>
    </font>
    <font>
      <sz val="9"/>
      <name val="Times New Roman CE"/>
      <charset val="238"/>
    </font>
    <font>
      <sz val="12"/>
      <name val="Arial"/>
      <family val="2"/>
      <charset val="238"/>
    </font>
    <font>
      <sz val="9"/>
      <color indexed="81"/>
      <name val="Tahoma"/>
      <family val="2"/>
      <charset val="238"/>
    </font>
    <font>
      <sz val="10"/>
      <color theme="0"/>
      <name val="Arial"/>
      <family val="2"/>
      <charset val="238"/>
    </font>
    <font>
      <sz val="10"/>
      <color rgb="FFFF0000"/>
      <name val="Arial"/>
      <family val="2"/>
      <charset val="238"/>
    </font>
    <font>
      <sz val="10"/>
      <color theme="0"/>
      <name val="Times New Roman"/>
      <family val="1"/>
      <charset val="238"/>
    </font>
    <font>
      <sz val="10"/>
      <color theme="1"/>
      <name val="Times New Roman"/>
      <family val="1"/>
      <charset val="238"/>
    </font>
    <font>
      <sz val="10"/>
      <color rgb="FF333333"/>
      <name val="Times New Roman"/>
      <family val="1"/>
      <charset val="238"/>
    </font>
    <font>
      <sz val="10"/>
      <color rgb="FFFF0000"/>
      <name val="Times New Roman"/>
      <family val="1"/>
      <charset val="238"/>
    </font>
    <font>
      <u/>
      <sz val="10"/>
      <color theme="10"/>
      <name val="Arial"/>
      <family val="2"/>
      <charset val="238"/>
    </font>
    <font>
      <b/>
      <sz val="9"/>
      <color indexed="81"/>
      <name val="Tahoma"/>
      <family val="2"/>
      <charset val="238"/>
    </font>
    <font>
      <b/>
      <i/>
      <sz val="10"/>
      <color rgb="FFFF0000"/>
      <name val="Times New Roman"/>
      <family val="1"/>
      <charset val="238"/>
    </font>
    <font>
      <sz val="10"/>
      <color theme="1"/>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theme="0"/>
        <bgColor indexed="64"/>
      </patternFill>
    </fill>
    <fill>
      <patternFill patternType="solid">
        <fgColor rgb="FFFFFF00"/>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8"/>
      </bottom>
      <diagonal/>
    </border>
    <border>
      <left style="thin">
        <color indexed="64"/>
      </left>
      <right style="thin">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n">
        <color indexed="64"/>
      </bottom>
      <diagonal/>
    </border>
    <border>
      <left style="medium">
        <color indexed="64"/>
      </left>
      <right style="thin">
        <color indexed="64"/>
      </right>
      <top/>
      <bottom style="thick">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73">
    <xf numFmtId="0" fontId="0" fillId="0" borderId="0"/>
    <xf numFmtId="0" fontId="7" fillId="2" borderId="0" applyNumberFormat="0" applyBorder="0" applyAlignment="0" applyProtection="0"/>
    <xf numFmtId="0" fontId="4" fillId="2" borderId="0" applyNumberFormat="0" applyBorder="0" applyAlignment="0" applyProtection="0"/>
    <xf numFmtId="0" fontId="7" fillId="3" borderId="0" applyNumberFormat="0" applyBorder="0" applyAlignment="0" applyProtection="0"/>
    <xf numFmtId="0" fontId="4" fillId="3" borderId="0" applyNumberFormat="0" applyBorder="0" applyAlignment="0" applyProtection="0"/>
    <xf numFmtId="0" fontId="7"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4" fillId="5" borderId="0" applyNumberFormat="0" applyBorder="0" applyAlignment="0" applyProtection="0"/>
    <xf numFmtId="0" fontId="7" fillId="6" borderId="0" applyNumberFormat="0" applyBorder="0" applyAlignment="0" applyProtection="0"/>
    <xf numFmtId="0" fontId="4" fillId="6" borderId="0" applyNumberFormat="0" applyBorder="0" applyAlignment="0" applyProtection="0"/>
    <xf numFmtId="0" fontId="7" fillId="7" borderId="0" applyNumberFormat="0" applyBorder="0" applyAlignment="0" applyProtection="0"/>
    <xf numFmtId="0" fontId="4" fillId="7" borderId="0" applyNumberFormat="0" applyBorder="0" applyAlignment="0" applyProtection="0"/>
    <xf numFmtId="0" fontId="7" fillId="8" borderId="0" applyNumberFormat="0" applyBorder="0" applyAlignment="0" applyProtection="0"/>
    <xf numFmtId="0" fontId="4" fillId="8" borderId="0" applyNumberFormat="0" applyBorder="0" applyAlignment="0" applyProtection="0"/>
    <xf numFmtId="0" fontId="7" fillId="9" borderId="0" applyNumberFormat="0" applyBorder="0" applyAlignment="0" applyProtection="0"/>
    <xf numFmtId="0" fontId="4" fillId="9" borderId="0" applyNumberFormat="0" applyBorder="0" applyAlignment="0" applyProtection="0"/>
    <xf numFmtId="0" fontId="7" fillId="10" borderId="0" applyNumberFormat="0" applyBorder="0" applyAlignment="0" applyProtection="0"/>
    <xf numFmtId="0" fontId="4" fillId="10" borderId="0" applyNumberFormat="0" applyBorder="0" applyAlignment="0" applyProtection="0"/>
    <xf numFmtId="0" fontId="7" fillId="5" borderId="0" applyNumberFormat="0" applyBorder="0" applyAlignment="0" applyProtection="0"/>
    <xf numFmtId="0" fontId="4" fillId="5" borderId="0" applyNumberFormat="0" applyBorder="0" applyAlignment="0" applyProtection="0"/>
    <xf numFmtId="0" fontId="7" fillId="8" borderId="0" applyNumberFormat="0" applyBorder="0" applyAlignment="0" applyProtection="0"/>
    <xf numFmtId="0" fontId="4" fillId="8" borderId="0" applyNumberFormat="0" applyBorder="0" applyAlignment="0" applyProtection="0"/>
    <xf numFmtId="0" fontId="7" fillId="11" borderId="0" applyNumberFormat="0" applyBorder="0" applyAlignment="0" applyProtection="0"/>
    <xf numFmtId="0" fontId="4"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7" borderId="1" applyNumberFormat="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6" applyNumberFormat="0" applyFill="0" applyAlignment="0" applyProtection="0"/>
    <xf numFmtId="0" fontId="6" fillId="17" borderId="7" applyNumberFormat="0" applyFont="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7" fillId="4" borderId="0" applyNumberFormat="0" applyBorder="0" applyAlignment="0" applyProtection="0"/>
    <xf numFmtId="0" fontId="18" fillId="22" borderId="8" applyNumberFormat="0" applyAlignment="0" applyProtection="0"/>
    <xf numFmtId="0" fontId="19" fillId="0" borderId="0" applyNumberFormat="0" applyFill="0" applyBorder="0" applyAlignment="0" applyProtection="0"/>
    <xf numFmtId="0" fontId="40" fillId="0" borderId="0"/>
    <xf numFmtId="0" fontId="5" fillId="0" borderId="0"/>
    <xf numFmtId="0" fontId="5" fillId="0" borderId="0"/>
    <xf numFmtId="0" fontId="6" fillId="0" borderId="0" applyBorder="0"/>
    <xf numFmtId="0" fontId="33" fillId="0" borderId="0"/>
    <xf numFmtId="0" fontId="20" fillId="0" borderId="9" applyNumberFormat="0" applyFill="0" applyAlignment="0" applyProtection="0"/>
    <xf numFmtId="0" fontId="21" fillId="3" borderId="0" applyNumberFormat="0" applyBorder="0" applyAlignment="0" applyProtection="0"/>
    <xf numFmtId="0" fontId="22" fillId="23" borderId="0" applyNumberFormat="0" applyBorder="0" applyAlignment="0" applyProtection="0"/>
    <xf numFmtId="0" fontId="23" fillId="22" borderId="1" applyNumberFormat="0" applyAlignment="0" applyProtection="0"/>
    <xf numFmtId="0" fontId="6" fillId="0" borderId="0"/>
    <xf numFmtId="9" fontId="5" fillId="0" borderId="0" applyFont="0" applyFill="0" applyBorder="0" applyAlignment="0" applyProtection="0"/>
    <xf numFmtId="0" fontId="33" fillId="0" borderId="0"/>
    <xf numFmtId="0" fontId="52" fillId="0" borderId="0"/>
    <xf numFmtId="0" fontId="6" fillId="0" borderId="0"/>
    <xf numFmtId="0" fontId="6" fillId="0" borderId="0"/>
    <xf numFmtId="0" fontId="52" fillId="0" borderId="0"/>
    <xf numFmtId="0" fontId="6" fillId="0" borderId="0" applyBorder="0"/>
    <xf numFmtId="0" fontId="6" fillId="0" borderId="0" applyBorder="0"/>
    <xf numFmtId="0" fontId="3" fillId="0" borderId="0"/>
    <xf numFmtId="0" fontId="70" fillId="0" borderId="0" applyNumberFormat="0" applyFill="0" applyBorder="0" applyAlignment="0" applyProtection="0"/>
    <xf numFmtId="44"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cellStyleXfs>
  <cellXfs count="662">
    <xf numFmtId="0" fontId="0" fillId="0" borderId="0" xfId="0"/>
    <xf numFmtId="0" fontId="25" fillId="0" borderId="0" xfId="53" applyFont="1"/>
    <xf numFmtId="0" fontId="28" fillId="0" borderId="0" xfId="53" applyFont="1"/>
    <xf numFmtId="0" fontId="32" fillId="0" borderId="11" xfId="53" applyFont="1" applyBorder="1" applyAlignment="1">
      <alignment horizontal="center"/>
    </xf>
    <xf numFmtId="0" fontId="29" fillId="0" borderId="11" xfId="53" applyFont="1" applyBorder="1" applyAlignment="1">
      <alignment horizontal="right"/>
    </xf>
    <xf numFmtId="0" fontId="25" fillId="0" borderId="10" xfId="53" applyFont="1" applyBorder="1"/>
    <xf numFmtId="0" fontId="25" fillId="0" borderId="0" xfId="53" applyFont="1" applyAlignment="1">
      <alignment vertical="center"/>
    </xf>
    <xf numFmtId="0" fontId="29" fillId="0" borderId="0" xfId="53" applyFont="1"/>
    <xf numFmtId="0" fontId="29" fillId="0" borderId="0" xfId="53" applyFont="1" applyBorder="1" applyAlignment="1">
      <alignment horizontal="right"/>
    </xf>
    <xf numFmtId="0" fontId="5" fillId="0" borderId="0" xfId="51" applyFill="1"/>
    <xf numFmtId="0" fontId="5" fillId="0" borderId="0" xfId="51"/>
    <xf numFmtId="0" fontId="41" fillId="0" borderId="0" xfId="51" applyFont="1"/>
    <xf numFmtId="0" fontId="35" fillId="0" borderId="0" xfId="53" applyFont="1" applyFill="1" applyBorder="1" applyAlignment="1"/>
    <xf numFmtId="0" fontId="5" fillId="0" borderId="0" xfId="51" applyFont="1" applyFill="1"/>
    <xf numFmtId="0" fontId="48" fillId="0" borderId="0" xfId="51" applyFont="1"/>
    <xf numFmtId="0" fontId="36" fillId="0" borderId="0" xfId="53" applyFont="1" applyFill="1" applyBorder="1" applyAlignment="1">
      <alignment horizontal="right"/>
    </xf>
    <xf numFmtId="0" fontId="49" fillId="0" borderId="0" xfId="51" applyFont="1"/>
    <xf numFmtId="3" fontId="49" fillId="0" borderId="0" xfId="51" applyNumberFormat="1" applyFont="1"/>
    <xf numFmtId="0" fontId="50" fillId="0" borderId="0" xfId="51" applyFont="1" applyAlignment="1">
      <alignment horizontal="center" wrapText="1"/>
    </xf>
    <xf numFmtId="3" fontId="49" fillId="0" borderId="0" xfId="51" applyNumberFormat="1" applyFont="1" applyAlignment="1">
      <alignment horizontal="right"/>
    </xf>
    <xf numFmtId="0" fontId="49" fillId="0" borderId="0" xfId="51" applyFont="1" applyAlignment="1">
      <alignment wrapText="1"/>
    </xf>
    <xf numFmtId="0" fontId="50" fillId="0" borderId="0" xfId="51" applyFont="1"/>
    <xf numFmtId="0" fontId="49" fillId="0" borderId="0" xfId="51" applyFont="1" applyAlignment="1">
      <alignment horizontal="right"/>
    </xf>
    <xf numFmtId="3" fontId="41" fillId="0" borderId="0" xfId="51" applyNumberFormat="1" applyFont="1" applyAlignment="1">
      <alignment horizontal="right"/>
    </xf>
    <xf numFmtId="0" fontId="47" fillId="0" borderId="0" xfId="51" applyFont="1"/>
    <xf numFmtId="0" fontId="41" fillId="0" borderId="0" xfId="51" applyFont="1" applyAlignment="1">
      <alignment horizontal="center"/>
    </xf>
    <xf numFmtId="3" fontId="41" fillId="0" borderId="0" xfId="51" applyNumberFormat="1" applyFont="1" applyAlignment="1">
      <alignment horizontal="center"/>
    </xf>
    <xf numFmtId="3" fontId="41" fillId="0" borderId="0" xfId="51" applyNumberFormat="1" applyFont="1"/>
    <xf numFmtId="3" fontId="47" fillId="0" borderId="0" xfId="51" applyNumberFormat="1" applyFont="1"/>
    <xf numFmtId="0" fontId="52" fillId="0" borderId="0" xfId="62" applyFont="1"/>
    <xf numFmtId="0" fontId="52" fillId="0" borderId="0" xfId="62" applyFont="1" applyAlignment="1">
      <alignment wrapText="1"/>
    </xf>
    <xf numFmtId="0" fontId="52" fillId="0" borderId="0" xfId="62" applyFont="1" applyFill="1"/>
    <xf numFmtId="0" fontId="52" fillId="0" borderId="0" xfId="62" applyFont="1" applyAlignment="1"/>
    <xf numFmtId="0" fontId="51" fillId="0" borderId="0" xfId="62" applyFont="1" applyAlignment="1">
      <alignment horizontal="center"/>
    </xf>
    <xf numFmtId="0" fontId="51" fillId="0" borderId="0" xfId="62" applyFont="1" applyAlignment="1">
      <alignment wrapText="1"/>
    </xf>
    <xf numFmtId="0" fontId="51" fillId="0" borderId="0" xfId="62" applyFont="1"/>
    <xf numFmtId="0" fontId="51" fillId="0" borderId="0" xfId="62" applyFont="1" applyFill="1"/>
    <xf numFmtId="0" fontId="52" fillId="0" borderId="0" xfId="62" applyFont="1" applyAlignment="1">
      <alignment horizontal="right"/>
    </xf>
    <xf numFmtId="0" fontId="52" fillId="0" borderId="10" xfId="62" applyFont="1" applyBorder="1" applyAlignment="1">
      <alignment wrapText="1"/>
    </xf>
    <xf numFmtId="0" fontId="51" fillId="0" borderId="10" xfId="62" applyFont="1" applyBorder="1" applyAlignment="1">
      <alignment horizontal="center" wrapText="1"/>
    </xf>
    <xf numFmtId="0" fontId="51" fillId="0" borderId="10" xfId="62" applyFont="1" applyFill="1" applyBorder="1" applyAlignment="1">
      <alignment horizontal="center" wrapText="1"/>
    </xf>
    <xf numFmtId="0" fontId="32" fillId="0" borderId="36" xfId="63" applyFont="1" applyBorder="1" applyAlignment="1">
      <alignment horizontal="center" wrapText="1"/>
    </xf>
    <xf numFmtId="0" fontId="52" fillId="0" borderId="10" xfId="62" applyFont="1" applyFill="1" applyBorder="1" applyAlignment="1">
      <alignment vertical="center"/>
    </xf>
    <xf numFmtId="0" fontId="52" fillId="0" borderId="10" xfId="62" applyFont="1" applyFill="1" applyBorder="1" applyAlignment="1">
      <alignment vertical="center" wrapText="1"/>
    </xf>
    <xf numFmtId="0" fontId="52" fillId="0" borderId="10" xfId="62" applyFont="1" applyFill="1" applyBorder="1" applyAlignment="1">
      <alignment horizontal="center" vertical="center"/>
    </xf>
    <xf numFmtId="3" fontId="52" fillId="0" borderId="10" xfId="62" applyNumberFormat="1" applyFont="1" applyFill="1" applyBorder="1" applyAlignment="1">
      <alignment horizontal="right" vertical="center"/>
    </xf>
    <xf numFmtId="49" fontId="52" fillId="0" borderId="10" xfId="62" applyNumberFormat="1" applyFont="1" applyFill="1" applyBorder="1" applyAlignment="1">
      <alignment horizontal="center" vertical="center"/>
    </xf>
    <xf numFmtId="3" fontId="29" fillId="0" borderId="36" xfId="63" applyNumberFormat="1" applyFont="1" applyFill="1" applyBorder="1" applyAlignment="1">
      <alignment vertical="center"/>
    </xf>
    <xf numFmtId="3" fontId="29" fillId="0" borderId="10" xfId="63" applyNumberFormat="1" applyFont="1" applyFill="1" applyBorder="1" applyAlignment="1">
      <alignment vertical="center"/>
    </xf>
    <xf numFmtId="3" fontId="52" fillId="0" borderId="0" xfId="62" applyNumberFormat="1" applyFont="1"/>
    <xf numFmtId="3" fontId="52" fillId="0" borderId="36" xfId="62" applyNumberFormat="1" applyFont="1" applyFill="1" applyBorder="1" applyAlignment="1">
      <alignment horizontal="right" vertical="center"/>
    </xf>
    <xf numFmtId="3" fontId="52" fillId="0" borderId="10" xfId="62" applyNumberFormat="1" applyFont="1" applyFill="1" applyBorder="1" applyAlignment="1">
      <alignment vertical="center"/>
    </xf>
    <xf numFmtId="0" fontId="52" fillId="0" borderId="0" xfId="62" applyFont="1" applyBorder="1"/>
    <xf numFmtId="3" fontId="52" fillId="0" borderId="0" xfId="62" applyNumberFormat="1" applyFont="1" applyFill="1" applyBorder="1"/>
    <xf numFmtId="0" fontId="29" fillId="0" borderId="0" xfId="63" applyFont="1"/>
    <xf numFmtId="0" fontId="6" fillId="0" borderId="0" xfId="64"/>
    <xf numFmtId="3" fontId="35" fillId="0" borderId="0" xfId="64" applyNumberFormat="1" applyFont="1"/>
    <xf numFmtId="3" fontId="53" fillId="0" borderId="10" xfId="64" applyNumberFormat="1" applyFont="1" applyFill="1" applyBorder="1"/>
    <xf numFmtId="3" fontId="56" fillId="0" borderId="10" xfId="64" applyNumberFormat="1" applyFont="1" applyFill="1" applyBorder="1"/>
    <xf numFmtId="0" fontId="53" fillId="0" borderId="10" xfId="64" applyFont="1" applyFill="1" applyBorder="1"/>
    <xf numFmtId="0" fontId="56" fillId="0" borderId="10" xfId="64" applyFont="1" applyFill="1" applyBorder="1"/>
    <xf numFmtId="0" fontId="54" fillId="0" borderId="10" xfId="64" applyFont="1" applyFill="1" applyBorder="1"/>
    <xf numFmtId="3" fontId="54" fillId="0" borderId="10" xfId="64" applyNumberFormat="1" applyFont="1" applyFill="1" applyBorder="1"/>
    <xf numFmtId="0" fontId="54" fillId="0" borderId="10" xfId="64" applyFont="1" applyFill="1" applyBorder="1" applyAlignment="1">
      <alignment horizontal="left"/>
    </xf>
    <xf numFmtId="0" fontId="5" fillId="0" borderId="0" xfId="51" applyFill="1" applyAlignment="1">
      <alignment horizontal="right"/>
    </xf>
    <xf numFmtId="0" fontId="47" fillId="0" borderId="0" xfId="51" applyFont="1" applyFill="1" applyAlignment="1">
      <alignment horizontal="centerContinuous"/>
    </xf>
    <xf numFmtId="0" fontId="47" fillId="0" borderId="0" xfId="51" applyFont="1" applyFill="1" applyAlignment="1">
      <alignment horizontal="center"/>
    </xf>
    <xf numFmtId="0" fontId="47" fillId="0" borderId="36" xfId="51" applyFont="1" applyFill="1" applyBorder="1" applyAlignment="1"/>
    <xf numFmtId="0" fontId="47" fillId="0" borderId="10" xfId="51" applyFont="1" applyFill="1" applyBorder="1" applyAlignment="1">
      <alignment horizontal="center"/>
    </xf>
    <xf numFmtId="0" fontId="47" fillId="0" borderId="10" xfId="51" applyFont="1" applyFill="1" applyBorder="1" applyAlignment="1">
      <alignment horizontal="center" wrapText="1"/>
    </xf>
    <xf numFmtId="0" fontId="41" fillId="0" borderId="36" xfId="51" applyFont="1" applyFill="1" applyBorder="1" applyAlignment="1"/>
    <xf numFmtId="0" fontId="41" fillId="0" borderId="10" xfId="51" applyFont="1" applyFill="1" applyBorder="1" applyAlignment="1">
      <alignment horizontal="left"/>
    </xf>
    <xf numFmtId="3" fontId="41" fillId="0" borderId="10" xfId="51" applyNumberFormat="1" applyFont="1" applyFill="1" applyBorder="1" applyAlignment="1"/>
    <xf numFmtId="0" fontId="41" fillId="0" borderId="36" xfId="51" applyFont="1" applyFill="1" applyBorder="1" applyAlignment="1">
      <alignment wrapText="1"/>
    </xf>
    <xf numFmtId="0" fontId="41" fillId="0" borderId="10" xfId="51" applyFont="1" applyFill="1" applyBorder="1" applyAlignment="1">
      <alignment horizontal="left" wrapText="1"/>
    </xf>
    <xf numFmtId="3" fontId="41" fillId="0" borderId="10" xfId="51" applyNumberFormat="1" applyFont="1" applyFill="1" applyBorder="1" applyAlignment="1">
      <alignment wrapText="1"/>
    </xf>
    <xf numFmtId="0" fontId="57" fillId="0" borderId="0" xfId="51" applyFont="1" applyFill="1"/>
    <xf numFmtId="0" fontId="48" fillId="0" borderId="0" xfId="51" applyFont="1" applyFill="1" applyAlignment="1">
      <alignment wrapText="1"/>
    </xf>
    <xf numFmtId="0" fontId="5" fillId="0" borderId="0" xfId="51" applyFont="1" applyFill="1" applyAlignment="1"/>
    <xf numFmtId="0" fontId="57" fillId="0" borderId="10" xfId="51" applyFont="1" applyFill="1" applyBorder="1"/>
    <xf numFmtId="1" fontId="52" fillId="0" borderId="10" xfId="60" applyNumberFormat="1" applyFont="1" applyFill="1" applyBorder="1"/>
    <xf numFmtId="165" fontId="52" fillId="0" borderId="10" xfId="60" applyNumberFormat="1" applyFont="1" applyFill="1" applyBorder="1"/>
    <xf numFmtId="0" fontId="52" fillId="0" borderId="0" xfId="65"/>
    <xf numFmtId="3" fontId="52" fillId="0" borderId="0" xfId="65" applyNumberFormat="1"/>
    <xf numFmtId="0" fontId="62" fillId="0" borderId="0" xfId="51" applyFont="1" applyFill="1"/>
    <xf numFmtId="0" fontId="25" fillId="0" borderId="10" xfId="67" applyFont="1" applyFill="1" applyBorder="1" applyAlignment="1">
      <alignment horizontal="center" vertical="center" wrapText="1"/>
    </xf>
    <xf numFmtId="0" fontId="25" fillId="0" borderId="10" xfId="51" applyFont="1" applyFill="1" applyBorder="1" applyAlignment="1">
      <alignment horizontal="center" vertical="center" wrapText="1"/>
    </xf>
    <xf numFmtId="0" fontId="25" fillId="0" borderId="10" xfId="67" applyFont="1" applyFill="1" applyBorder="1"/>
    <xf numFmtId="0" fontId="25" fillId="0" borderId="10" xfId="67" applyFont="1" applyFill="1" applyBorder="1" applyAlignment="1">
      <alignment horizontal="right"/>
    </xf>
    <xf numFmtId="0" fontId="25" fillId="0" borderId="10" xfId="51" applyFont="1" applyFill="1" applyBorder="1"/>
    <xf numFmtId="0" fontId="24" fillId="0" borderId="10" xfId="67" applyFont="1" applyFill="1" applyBorder="1"/>
    <xf numFmtId="2" fontId="24" fillId="0" borderId="10" xfId="67" applyNumberFormat="1" applyFont="1" applyFill="1" applyBorder="1"/>
    <xf numFmtId="3" fontId="35" fillId="0" borderId="0" xfId="64" applyNumberFormat="1" applyFont="1" applyFill="1"/>
    <xf numFmtId="3" fontId="53" fillId="0" borderId="0" xfId="64" applyNumberFormat="1" applyFont="1" applyFill="1"/>
    <xf numFmtId="3" fontId="54" fillId="0" borderId="0" xfId="64" applyNumberFormat="1" applyFont="1" applyFill="1" applyAlignment="1">
      <alignment horizontal="right"/>
    </xf>
    <xf numFmtId="3" fontId="54" fillId="0" borderId="10" xfId="64" applyNumberFormat="1" applyFont="1" applyFill="1" applyBorder="1" applyAlignment="1">
      <alignment horizontal="right"/>
    </xf>
    <xf numFmtId="3" fontId="37" fillId="0" borderId="10" xfId="64" applyNumberFormat="1" applyFont="1" applyFill="1" applyBorder="1" applyAlignment="1">
      <alignment horizontal="right"/>
    </xf>
    <xf numFmtId="0" fontId="24" fillId="0" borderId="10" xfId="51" applyFont="1" applyFill="1" applyBorder="1"/>
    <xf numFmtId="0" fontId="5" fillId="0" borderId="10" xfId="51" applyFill="1" applyBorder="1"/>
    <xf numFmtId="0" fontId="5" fillId="0" borderId="10" xfId="51" applyFill="1" applyBorder="1" applyAlignment="1">
      <alignment wrapText="1"/>
    </xf>
    <xf numFmtId="0" fontId="25" fillId="0" borderId="12" xfId="53" applyFont="1" applyBorder="1"/>
    <xf numFmtId="0" fontId="35" fillId="0" borderId="21" xfId="53" applyFont="1" applyBorder="1" applyAlignment="1">
      <alignment wrapText="1"/>
    </xf>
    <xf numFmtId="0" fontId="38" fillId="0" borderId="21" xfId="53" applyFont="1" applyBorder="1" applyAlignment="1">
      <alignment wrapText="1"/>
    </xf>
    <xf numFmtId="0" fontId="25" fillId="0" borderId="0" xfId="53" applyFont="1" applyAlignment="1">
      <alignment wrapText="1"/>
    </xf>
    <xf numFmtId="0" fontId="27" fillId="0" borderId="0" xfId="53" applyFont="1"/>
    <xf numFmtId="0" fontId="35" fillId="0" borderId="0" xfId="53" applyFont="1" applyBorder="1" applyAlignment="1">
      <alignment horizontal="right"/>
    </xf>
    <xf numFmtId="0" fontId="43" fillId="0" borderId="0" xfId="59" applyFont="1" applyAlignment="1">
      <alignment wrapText="1"/>
    </xf>
    <xf numFmtId="3" fontId="52" fillId="0" borderId="10" xfId="65" applyNumberFormat="1" applyBorder="1"/>
    <xf numFmtId="0" fontId="52" fillId="0" borderId="10" xfId="65" applyBorder="1"/>
    <xf numFmtId="3" fontId="50" fillId="0" borderId="10" xfId="65" applyNumberFormat="1" applyFont="1" applyBorder="1"/>
    <xf numFmtId="0" fontId="50" fillId="0" borderId="10" xfId="65" applyFont="1" applyBorder="1"/>
    <xf numFmtId="0" fontId="52" fillId="0" borderId="10" xfId="65" applyBorder="1" applyAlignment="1">
      <alignment wrapText="1"/>
    </xf>
    <xf numFmtId="0" fontId="49" fillId="0" borderId="10" xfId="65" applyFont="1" applyBorder="1"/>
    <xf numFmtId="0" fontId="50" fillId="0" borderId="0" xfId="65" applyFont="1"/>
    <xf numFmtId="0" fontId="49" fillId="0" borderId="10" xfId="65" applyFont="1" applyBorder="1" applyAlignment="1">
      <alignment wrapText="1"/>
    </xf>
    <xf numFmtId="3" fontId="52" fillId="0" borderId="10" xfId="65" applyNumberFormat="1" applyBorder="1" applyAlignment="1">
      <alignment horizontal="center"/>
    </xf>
    <xf numFmtId="0" fontId="52" fillId="0" borderId="0" xfId="65" applyAlignment="1">
      <alignment horizontal="right"/>
    </xf>
    <xf numFmtId="0" fontId="34" fillId="0" borderId="0" xfId="52" applyFont="1"/>
    <xf numFmtId="0" fontId="50" fillId="0" borderId="0" xfId="65" applyFont="1" applyAlignment="1">
      <alignment horizontal="center"/>
    </xf>
    <xf numFmtId="3" fontId="31" fillId="0" borderId="10" xfId="53" applyNumberFormat="1" applyFont="1" applyBorder="1"/>
    <xf numFmtId="3" fontId="29" fillId="0" borderId="10" xfId="53" applyNumberFormat="1" applyFont="1" applyBorder="1"/>
    <xf numFmtId="0" fontId="30" fillId="0" borderId="0" xfId="53" applyFont="1" applyBorder="1"/>
    <xf numFmtId="0" fontId="44" fillId="0" borderId="10" xfId="59" applyFont="1" applyBorder="1" applyAlignment="1">
      <alignment wrapText="1"/>
    </xf>
    <xf numFmtId="0" fontId="45" fillId="0" borderId="10" xfId="59" applyFont="1" applyBorder="1" applyAlignment="1">
      <alignment wrapText="1"/>
    </xf>
    <xf numFmtId="0" fontId="43" fillId="0" borderId="10" xfId="59" applyFont="1" applyBorder="1" applyAlignment="1">
      <alignment wrapText="1"/>
    </xf>
    <xf numFmtId="0" fontId="42" fillId="0" borderId="10" xfId="51" applyFont="1" applyBorder="1" applyAlignment="1">
      <alignment wrapText="1"/>
    </xf>
    <xf numFmtId="0" fontId="45" fillId="0" borderId="10" xfId="59" applyFont="1" applyBorder="1" applyAlignment="1">
      <alignment vertical="center"/>
    </xf>
    <xf numFmtId="0" fontId="65" fillId="0" borderId="0" xfId="51" applyFont="1"/>
    <xf numFmtId="0" fontId="29" fillId="0" borderId="10" xfId="53" applyFont="1" applyBorder="1" applyAlignment="1">
      <alignment vertical="center" wrapText="1"/>
    </xf>
    <xf numFmtId="3" fontId="29" fillId="0" borderId="10" xfId="53" applyNumberFormat="1" applyFont="1" applyBorder="1" applyAlignment="1">
      <alignment wrapText="1"/>
    </xf>
    <xf numFmtId="3" fontId="31" fillId="0" borderId="10" xfId="53" applyNumberFormat="1" applyFont="1" applyBorder="1" applyAlignment="1">
      <alignment wrapText="1"/>
    </xf>
    <xf numFmtId="0" fontId="41" fillId="0" borderId="0" xfId="51" applyFont="1" applyAlignment="1">
      <alignment horizontal="right"/>
    </xf>
    <xf numFmtId="0" fontId="3" fillId="0" borderId="0" xfId="68"/>
    <xf numFmtId="0" fontId="41" fillId="0" borderId="0" xfId="51" quotePrefix="1" applyFont="1"/>
    <xf numFmtId="3" fontId="5" fillId="0" borderId="0" xfId="51" applyNumberFormat="1"/>
    <xf numFmtId="0" fontId="5" fillId="0" borderId="0" xfId="51" applyFill="1" applyAlignment="1">
      <alignment horizontal="left" wrapText="1"/>
    </xf>
    <xf numFmtId="0" fontId="48" fillId="0" borderId="0" xfId="51" applyFont="1" applyFill="1" applyAlignment="1">
      <alignment horizontal="left" wrapText="1"/>
    </xf>
    <xf numFmtId="0" fontId="5" fillId="0" borderId="10" xfId="51" applyFont="1" applyFill="1" applyBorder="1" applyAlignment="1">
      <alignment wrapText="1"/>
    </xf>
    <xf numFmtId="0" fontId="5" fillId="0" borderId="10" xfId="51" quotePrefix="1" applyFont="1" applyFill="1" applyBorder="1" applyAlignment="1">
      <alignment wrapText="1"/>
    </xf>
    <xf numFmtId="0" fontId="36" fillId="0" borderId="21" xfId="53" applyFont="1" applyBorder="1" applyAlignment="1">
      <alignment wrapText="1"/>
    </xf>
    <xf numFmtId="14" fontId="67" fillId="24" borderId="10" xfId="62" applyNumberFormat="1" applyFont="1" applyFill="1" applyBorder="1" applyAlignment="1">
      <alignment horizontal="center"/>
    </xf>
    <xf numFmtId="164" fontId="67" fillId="24" borderId="10" xfId="62" applyNumberFormat="1" applyFont="1" applyFill="1" applyBorder="1" applyAlignment="1">
      <alignment horizontal="right" wrapText="1"/>
    </xf>
    <xf numFmtId="14" fontId="67" fillId="24" borderId="10" xfId="62" applyNumberFormat="1" applyFont="1" applyFill="1" applyBorder="1" applyAlignment="1">
      <alignment horizontal="center" wrapText="1"/>
    </xf>
    <xf numFmtId="3" fontId="29" fillId="24" borderId="10" xfId="62" applyNumberFormat="1" applyFont="1" applyFill="1" applyBorder="1" applyAlignment="1">
      <alignment horizontal="right"/>
    </xf>
    <xf numFmtId="0" fontId="29" fillId="0" borderId="10" xfId="51" applyFont="1" applyBorder="1" applyAlignment="1">
      <alignment wrapText="1"/>
    </xf>
    <xf numFmtId="3" fontId="5" fillId="0" borderId="11" xfId="51" applyNumberFormat="1" applyBorder="1"/>
    <xf numFmtId="0" fontId="68" fillId="0" borderId="10" xfId="51" applyFont="1" applyBorder="1" applyAlignment="1">
      <alignment wrapText="1"/>
    </xf>
    <xf numFmtId="0" fontId="29" fillId="24" borderId="10" xfId="51" applyFont="1" applyFill="1" applyBorder="1" applyAlignment="1">
      <alignment wrapText="1"/>
    </xf>
    <xf numFmtId="0" fontId="50" fillId="0" borderId="10" xfId="65" applyFont="1" applyFill="1" applyBorder="1"/>
    <xf numFmtId="3" fontId="50" fillId="0" borderId="10" xfId="65" applyNumberFormat="1" applyFont="1" applyFill="1" applyBorder="1"/>
    <xf numFmtId="0" fontId="50" fillId="0" borderId="0" xfId="65" applyFont="1" applyFill="1"/>
    <xf numFmtId="3" fontId="50" fillId="0" borderId="0" xfId="65" applyNumberFormat="1" applyFont="1" applyFill="1"/>
    <xf numFmtId="0" fontId="52" fillId="0" borderId="10" xfId="65" applyFill="1" applyBorder="1"/>
    <xf numFmtId="0" fontId="49" fillId="0" borderId="10" xfId="65" applyFont="1" applyFill="1" applyBorder="1"/>
    <xf numFmtId="3" fontId="52" fillId="0" borderId="10" xfId="65" applyNumberFormat="1" applyFill="1" applyBorder="1"/>
    <xf numFmtId="3" fontId="49" fillId="0" borderId="10" xfId="65" applyNumberFormat="1" applyFont="1" applyFill="1" applyBorder="1"/>
    <xf numFmtId="0" fontId="52" fillId="0" borderId="10" xfId="65" applyFill="1" applyBorder="1" applyAlignment="1">
      <alignment wrapText="1"/>
    </xf>
    <xf numFmtId="3" fontId="52" fillId="0" borderId="0" xfId="65" applyNumberFormat="1" applyFill="1"/>
    <xf numFmtId="0" fontId="50" fillId="0" borderId="0" xfId="65" applyFont="1" applyFill="1" applyAlignment="1">
      <alignment horizontal="center"/>
    </xf>
    <xf numFmtId="0" fontId="52" fillId="0" borderId="0" xfId="65" applyFill="1"/>
    <xf numFmtId="3" fontId="52" fillId="0" borderId="10" xfId="65" applyNumberFormat="1" applyFill="1" applyBorder="1" applyAlignment="1">
      <alignment horizontal="center"/>
    </xf>
    <xf numFmtId="0" fontId="52" fillId="0" borderId="10" xfId="65" applyFill="1" applyBorder="1" applyAlignment="1">
      <alignment horizontal="right"/>
    </xf>
    <xf numFmtId="166" fontId="52" fillId="0" borderId="0" xfId="65" applyNumberFormat="1" applyFill="1"/>
    <xf numFmtId="0" fontId="35" fillId="0" borderId="0" xfId="53" applyFont="1" applyFill="1" applyBorder="1" applyAlignment="1">
      <alignment horizontal="right"/>
    </xf>
    <xf numFmtId="0" fontId="57" fillId="0" borderId="0" xfId="51" applyFont="1"/>
    <xf numFmtId="0" fontId="50" fillId="0" borderId="0" xfId="51" applyFont="1" applyAlignment="1">
      <alignment horizontal="center"/>
    </xf>
    <xf numFmtId="0" fontId="35" fillId="0" borderId="0" xfId="53" applyFont="1" applyFill="1" applyBorder="1" applyAlignment="1">
      <alignment horizontal="right"/>
    </xf>
    <xf numFmtId="0" fontId="35" fillId="0" borderId="0" xfId="53" applyFont="1" applyBorder="1"/>
    <xf numFmtId="0" fontId="36" fillId="0" borderId="0" xfId="53" applyFont="1" applyBorder="1" applyAlignment="1">
      <alignment horizontal="right"/>
    </xf>
    <xf numFmtId="0" fontId="49" fillId="0" borderId="0" xfId="51" applyFont="1" applyAlignment="1">
      <alignment horizontal="center"/>
    </xf>
    <xf numFmtId="0" fontId="49" fillId="0" borderId="10" xfId="51" applyFont="1" applyBorder="1" applyAlignment="1">
      <alignment horizontal="right"/>
    </xf>
    <xf numFmtId="0" fontId="50" fillId="0" borderId="10" xfId="51" applyFont="1" applyBorder="1" applyAlignment="1">
      <alignment horizontal="center" vertical="center"/>
    </xf>
    <xf numFmtId="3" fontId="50" fillId="0" borderId="10" xfId="51" applyNumberFormat="1" applyFont="1" applyBorder="1" applyAlignment="1">
      <alignment horizontal="center" vertical="center"/>
    </xf>
    <xf numFmtId="3" fontId="50" fillId="0" borderId="10" xfId="51" applyNumberFormat="1" applyFont="1" applyBorder="1" applyAlignment="1">
      <alignment horizontal="right" vertical="center"/>
    </xf>
    <xf numFmtId="0" fontId="49" fillId="0" borderId="12" xfId="51" applyFont="1" applyBorder="1" applyAlignment="1">
      <alignment horizontal="center"/>
    </xf>
    <xf numFmtId="0" fontId="49" fillId="0" borderId="12" xfId="51" applyFont="1" applyBorder="1" applyAlignment="1">
      <alignment wrapText="1"/>
    </xf>
    <xf numFmtId="3" fontId="49" fillId="0" borderId="12" xfId="51" applyNumberFormat="1" applyFont="1" applyBorder="1"/>
    <xf numFmtId="0" fontId="49" fillId="0" borderId="12" xfId="51" applyFont="1" applyBorder="1"/>
    <xf numFmtId="3" fontId="51" fillId="0" borderId="12" xfId="51" applyNumberFormat="1" applyFont="1" applyBorder="1"/>
    <xf numFmtId="0" fontId="49" fillId="0" borderId="10" xfId="51" applyFont="1" applyBorder="1" applyAlignment="1">
      <alignment horizontal="center"/>
    </xf>
    <xf numFmtId="0" fontId="49" fillId="0" borderId="10" xfId="51" applyFont="1" applyBorder="1" applyAlignment="1">
      <alignment wrapText="1"/>
    </xf>
    <xf numFmtId="3" fontId="49" fillId="0" borderId="10" xfId="51" applyNumberFormat="1" applyFont="1" applyBorder="1"/>
    <xf numFmtId="0" fontId="49" fillId="0" borderId="10" xfId="51" applyFont="1" applyBorder="1"/>
    <xf numFmtId="3" fontId="51" fillId="0" borderId="10" xfId="51" applyNumberFormat="1" applyFont="1" applyBorder="1"/>
    <xf numFmtId="0" fontId="50" fillId="0" borderId="10" xfId="51" applyFont="1" applyBorder="1" applyAlignment="1">
      <alignment horizontal="right" wrapText="1"/>
    </xf>
    <xf numFmtId="0" fontId="50" fillId="0" borderId="0" xfId="51" applyFont="1" applyAlignment="1">
      <alignment horizontal="right" wrapText="1"/>
    </xf>
    <xf numFmtId="3" fontId="51" fillId="0" borderId="0" xfId="51" applyNumberFormat="1" applyFont="1"/>
    <xf numFmtId="3" fontId="50" fillId="0" borderId="10" xfId="51" applyNumberFormat="1" applyFont="1" applyBorder="1"/>
    <xf numFmtId="3" fontId="49" fillId="0" borderId="36" xfId="51" applyNumberFormat="1" applyFont="1" applyBorder="1"/>
    <xf numFmtId="0" fontId="29" fillId="0" borderId="0" xfId="62" applyFont="1" applyAlignment="1">
      <alignment wrapText="1"/>
    </xf>
    <xf numFmtId="49" fontId="29" fillId="0" borderId="0" xfId="62" applyNumberFormat="1" applyFont="1" applyAlignment="1">
      <alignment wrapText="1"/>
    </xf>
    <xf numFmtId="0" fontId="29" fillId="0" borderId="0" xfId="62" applyFont="1" applyAlignment="1">
      <alignment horizontal="center"/>
    </xf>
    <xf numFmtId="3" fontId="29" fillId="0" borderId="0" xfId="62" applyNumberFormat="1" applyFont="1" applyAlignment="1">
      <alignment horizontal="right"/>
    </xf>
    <xf numFmtId="0" fontId="29" fillId="0" borderId="0" xfId="62" applyFont="1" applyAlignment="1">
      <alignment horizontal="center" wrapText="1"/>
    </xf>
    <xf numFmtId="3" fontId="29" fillId="0" borderId="0" xfId="62" applyNumberFormat="1" applyFont="1" applyAlignment="1">
      <alignment horizontal="center"/>
    </xf>
    <xf numFmtId="3" fontId="29" fillId="0" borderId="0" xfId="62" applyNumberFormat="1" applyFont="1"/>
    <xf numFmtId="167" fontId="66" fillId="0" borderId="0" xfId="62" applyNumberFormat="1" applyFont="1" applyAlignment="1">
      <alignment horizontal="center" vertical="center"/>
    </xf>
    <xf numFmtId="0" fontId="67" fillId="0" borderId="10" xfId="62" applyFont="1" applyBorder="1" applyAlignment="1">
      <alignment wrapText="1"/>
    </xf>
    <xf numFmtId="49" fontId="67" fillId="0" borderId="10" xfId="62" applyNumberFormat="1" applyFont="1" applyBorder="1" applyAlignment="1">
      <alignment wrapText="1"/>
    </xf>
    <xf numFmtId="0" fontId="67" fillId="0" borderId="10" xfId="62" applyFont="1" applyBorder="1" applyAlignment="1">
      <alignment horizontal="center"/>
    </xf>
    <xf numFmtId="164" fontId="67" fillId="0" borderId="10" xfId="62" applyNumberFormat="1" applyFont="1" applyBorder="1" applyAlignment="1">
      <alignment horizontal="right" wrapText="1"/>
    </xf>
    <xf numFmtId="3" fontId="67" fillId="0" borderId="10" xfId="62" applyNumberFormat="1" applyFont="1" applyBorder="1"/>
    <xf numFmtId="0" fontId="68" fillId="0" borderId="10" xfId="51" applyFont="1" applyBorder="1"/>
    <xf numFmtId="14" fontId="67" fillId="0" borderId="10" xfId="62" applyNumberFormat="1" applyFont="1" applyBorder="1" applyAlignment="1">
      <alignment horizontal="center"/>
    </xf>
    <xf numFmtId="0" fontId="67" fillId="0" borderId="10" xfId="51" applyFont="1" applyBorder="1" applyAlignment="1">
      <alignment wrapText="1"/>
    </xf>
    <xf numFmtId="49" fontId="67" fillId="0" borderId="10" xfId="51" applyNumberFormat="1" applyFont="1" applyBorder="1" applyAlignment="1">
      <alignment wrapText="1"/>
    </xf>
    <xf numFmtId="14" fontId="67" fillId="0" borderId="10" xfId="51" applyNumberFormat="1" applyFont="1" applyBorder="1" applyAlignment="1">
      <alignment horizontal="center" wrapText="1"/>
    </xf>
    <xf numFmtId="0" fontId="67" fillId="0" borderId="10" xfId="62" applyFont="1" applyBorder="1" applyAlignment="1">
      <alignment horizontal="left"/>
    </xf>
    <xf numFmtId="0" fontId="67" fillId="0" borderId="10" xfId="62" applyFont="1" applyBorder="1" applyAlignment="1">
      <alignment horizontal="left" wrapText="1"/>
    </xf>
    <xf numFmtId="14" fontId="67" fillId="0" borderId="10" xfId="51" applyNumberFormat="1" applyFont="1" applyBorder="1" applyAlignment="1">
      <alignment horizontal="center"/>
    </xf>
    <xf numFmtId="3" fontId="68" fillId="0" borderId="10" xfId="51" applyNumberFormat="1" applyFont="1" applyBorder="1" applyAlignment="1">
      <alignment horizontal="right"/>
    </xf>
    <xf numFmtId="49" fontId="29" fillId="0" borderId="10" xfId="51" applyNumberFormat="1" applyFont="1" applyBorder="1" applyAlignment="1">
      <alignment wrapText="1"/>
    </xf>
    <xf numFmtId="14" fontId="29" fillId="0" borderId="10" xfId="51" applyNumberFormat="1" applyFont="1" applyBorder="1" applyAlignment="1">
      <alignment horizontal="center"/>
    </xf>
    <xf numFmtId="164" fontId="29" fillId="0" borderId="10" xfId="62" applyNumberFormat="1" applyFont="1" applyBorder="1" applyAlignment="1">
      <alignment horizontal="right" wrapText="1"/>
    </xf>
    <xf numFmtId="3" fontId="29" fillId="24" borderId="10" xfId="51" applyNumberFormat="1" applyFont="1" applyFill="1" applyBorder="1" applyAlignment="1">
      <alignment horizontal="right"/>
    </xf>
    <xf numFmtId="14" fontId="67" fillId="0" borderId="10" xfId="62" applyNumberFormat="1" applyFont="1" applyBorder="1" applyAlignment="1">
      <alignment horizontal="center" wrapText="1"/>
    </xf>
    <xf numFmtId="14" fontId="29" fillId="0" borderId="10" xfId="62" applyNumberFormat="1" applyFont="1" applyBorder="1" applyAlignment="1">
      <alignment horizontal="center" wrapText="1"/>
    </xf>
    <xf numFmtId="3" fontId="29" fillId="0" borderId="10" xfId="62" applyNumberFormat="1" applyFont="1" applyBorder="1"/>
    <xf numFmtId="0" fontId="67" fillId="24" borderId="10" xfId="62" applyFont="1" applyFill="1" applyBorder="1" applyAlignment="1">
      <alignment wrapText="1"/>
    </xf>
    <xf numFmtId="49" fontId="67" fillId="24" borderId="10" xfId="62" applyNumberFormat="1" applyFont="1" applyFill="1" applyBorder="1" applyAlignment="1">
      <alignment horizontal="left" wrapText="1"/>
    </xf>
    <xf numFmtId="3" fontId="67" fillId="24" borderId="10" xfId="51" applyNumberFormat="1" applyFont="1" applyFill="1" applyBorder="1" applyAlignment="1">
      <alignment horizontal="right"/>
    </xf>
    <xf numFmtId="49" fontId="67" fillId="24" borderId="10" xfId="62" applyNumberFormat="1" applyFont="1" applyFill="1" applyBorder="1" applyAlignment="1">
      <alignment wrapText="1"/>
    </xf>
    <xf numFmtId="0" fontId="67" fillId="24" borderId="10" xfId="62" applyFont="1" applyFill="1" applyBorder="1" applyAlignment="1">
      <alignment horizontal="center"/>
    </xf>
    <xf numFmtId="3" fontId="67" fillId="24" borderId="10" xfId="62" applyNumberFormat="1" applyFont="1" applyFill="1" applyBorder="1"/>
    <xf numFmtId="164" fontId="67" fillId="0" borderId="10" xfId="62" applyNumberFormat="1" applyFont="1" applyBorder="1" applyAlignment="1">
      <alignment horizontal="center" wrapText="1"/>
    </xf>
    <xf numFmtId="49" fontId="67" fillId="0" borderId="10" xfId="62" applyNumberFormat="1" applyFont="1" applyBorder="1" applyAlignment="1">
      <alignment horizontal="left" wrapText="1"/>
    </xf>
    <xf numFmtId="168" fontId="67" fillId="24" borderId="10" xfId="62" applyNumberFormat="1" applyFont="1" applyFill="1" applyBorder="1" applyAlignment="1">
      <alignment horizontal="right" wrapText="1"/>
    </xf>
    <xf numFmtId="168" fontId="67" fillId="0" borderId="10" xfId="62" applyNumberFormat="1" applyFont="1" applyBorder="1" applyAlignment="1">
      <alignment horizontal="right" wrapText="1"/>
    </xf>
    <xf numFmtId="0" fontId="67" fillId="0" borderId="10" xfId="62" applyFont="1" applyBorder="1" applyAlignment="1">
      <alignment horizontal="center" wrapText="1"/>
    </xf>
    <xf numFmtId="14" fontId="29" fillId="0" borderId="0" xfId="62" applyNumberFormat="1" applyFont="1" applyAlignment="1">
      <alignment horizontal="center"/>
    </xf>
    <xf numFmtId="0" fontId="64" fillId="0" borderId="0" xfId="51" applyFont="1"/>
    <xf numFmtId="9" fontId="64" fillId="0" borderId="0" xfId="51" applyNumberFormat="1" applyFont="1"/>
    <xf numFmtId="49" fontId="29" fillId="0" borderId="16" xfId="62" applyNumberFormat="1" applyFont="1" applyBorder="1" applyAlignment="1">
      <alignment horizontal="left" vertical="center" wrapText="1"/>
    </xf>
    <xf numFmtId="0" fontId="29" fillId="0" borderId="32" xfId="51" applyFont="1" applyBorder="1"/>
    <xf numFmtId="14" fontId="69" fillId="0" borderId="32" xfId="62" applyNumberFormat="1" applyFont="1" applyBorder="1" applyAlignment="1">
      <alignment horizontal="center" vertical="center" wrapText="1"/>
    </xf>
    <xf numFmtId="3" fontId="29" fillId="0" borderId="32" xfId="62" applyNumberFormat="1" applyFont="1" applyBorder="1" applyAlignment="1">
      <alignment horizontal="right" vertical="center" wrapText="1"/>
    </xf>
    <xf numFmtId="3" fontId="29" fillId="0" borderId="17" xfId="62" applyNumberFormat="1" applyFont="1" applyBorder="1" applyAlignment="1">
      <alignment horizontal="right" vertical="center" wrapText="1"/>
    </xf>
    <xf numFmtId="0" fontId="66" fillId="0" borderId="0" xfId="51" applyFont="1"/>
    <xf numFmtId="0" fontId="29" fillId="0" borderId="0" xfId="51" applyFont="1"/>
    <xf numFmtId="0" fontId="29" fillId="0" borderId="19" xfId="62" applyFont="1" applyBorder="1" applyAlignment="1">
      <alignment horizontal="left" vertical="center" wrapText="1"/>
    </xf>
    <xf numFmtId="49" fontId="29" fillId="0" borderId="10" xfId="62" applyNumberFormat="1" applyFont="1" applyBorder="1" applyAlignment="1">
      <alignment horizontal="left" vertical="center" wrapText="1"/>
    </xf>
    <xf numFmtId="0" fontId="29" fillId="0" borderId="10" xfId="62" applyFont="1" applyBorder="1" applyAlignment="1">
      <alignment horizontal="center" vertical="center" wrapText="1"/>
    </xf>
    <xf numFmtId="3" fontId="29" fillId="0" borderId="10" xfId="62" applyNumberFormat="1" applyFont="1" applyBorder="1" applyAlignment="1">
      <alignment horizontal="right" vertical="center" wrapText="1"/>
    </xf>
    <xf numFmtId="3" fontId="29" fillId="0" borderId="20" xfId="62" applyNumberFormat="1" applyFont="1" applyBorder="1" applyAlignment="1">
      <alignment horizontal="right" vertical="center" wrapText="1"/>
    </xf>
    <xf numFmtId="0" fontId="69" fillId="0" borderId="0" xfId="51" applyFont="1"/>
    <xf numFmtId="3" fontId="69" fillId="0" borderId="0" xfId="51" applyNumberFormat="1" applyFont="1"/>
    <xf numFmtId="0" fontId="29" fillId="0" borderId="10" xfId="51" applyFont="1" applyBorder="1"/>
    <xf numFmtId="0" fontId="68" fillId="0" borderId="19" xfId="51" applyFont="1" applyBorder="1"/>
    <xf numFmtId="0" fontId="29" fillId="0" borderId="19" xfId="62" applyFont="1" applyBorder="1"/>
    <xf numFmtId="49" fontId="29" fillId="0" borderId="10" xfId="62" applyNumberFormat="1" applyFont="1" applyBorder="1"/>
    <xf numFmtId="14" fontId="29" fillId="0" borderId="10" xfId="62" applyNumberFormat="1" applyFont="1" applyBorder="1" applyAlignment="1">
      <alignment horizontal="center"/>
    </xf>
    <xf numFmtId="3" fontId="29" fillId="0" borderId="10" xfId="62" applyNumberFormat="1" applyFont="1" applyBorder="1" applyAlignment="1">
      <alignment horizontal="right"/>
    </xf>
    <xf numFmtId="3" fontId="29" fillId="0" borderId="20" xfId="62" applyNumberFormat="1" applyFont="1" applyBorder="1"/>
    <xf numFmtId="49" fontId="29" fillId="0" borderId="10" xfId="62" applyNumberFormat="1" applyFont="1" applyBorder="1" applyAlignment="1">
      <alignment wrapText="1"/>
    </xf>
    <xf numFmtId="14" fontId="29" fillId="24" borderId="10" xfId="62" applyNumberFormat="1" applyFont="1" applyFill="1" applyBorder="1" applyAlignment="1">
      <alignment horizontal="center"/>
    </xf>
    <xf numFmtId="14" fontId="69" fillId="24" borderId="10" xfId="62" applyNumberFormat="1" applyFont="1" applyFill="1" applyBorder="1" applyAlignment="1">
      <alignment horizontal="center"/>
    </xf>
    <xf numFmtId="3" fontId="29" fillId="0" borderId="0" xfId="51" applyNumberFormat="1" applyFont="1"/>
    <xf numFmtId="0" fontId="29" fillId="0" borderId="10" xfId="62" applyFont="1" applyBorder="1"/>
    <xf numFmtId="0" fontId="29" fillId="0" borderId="10" xfId="62" applyFont="1" applyBorder="1" applyAlignment="1">
      <alignment horizontal="center"/>
    </xf>
    <xf numFmtId="0" fontId="69" fillId="24" borderId="0" xfId="51" applyFont="1" applyFill="1"/>
    <xf numFmtId="3" fontId="69" fillId="24" borderId="0" xfId="51" applyNumberFormat="1" applyFont="1" applyFill="1"/>
    <xf numFmtId="0" fontId="29" fillId="0" borderId="19" xfId="69" applyFont="1" applyBorder="1"/>
    <xf numFmtId="0" fontId="29" fillId="24" borderId="10" xfId="51" applyFont="1" applyFill="1" applyBorder="1"/>
    <xf numFmtId="0" fontId="69" fillId="24" borderId="10" xfId="62" applyFont="1" applyFill="1" applyBorder="1" applyAlignment="1">
      <alignment horizontal="center"/>
    </xf>
    <xf numFmtId="3" fontId="29" fillId="24" borderId="10" xfId="62" applyNumberFormat="1" applyFont="1" applyFill="1" applyBorder="1"/>
    <xf numFmtId="3" fontId="29" fillId="24" borderId="20" xfId="62" applyNumberFormat="1" applyFont="1" applyFill="1" applyBorder="1"/>
    <xf numFmtId="0" fontId="29" fillId="0" borderId="19" xfId="62" applyFont="1" applyBorder="1" applyAlignment="1">
      <alignment horizontal="left"/>
    </xf>
    <xf numFmtId="0" fontId="29" fillId="0" borderId="10" xfId="62" applyFont="1" applyBorder="1" applyAlignment="1">
      <alignment horizontal="left"/>
    </xf>
    <xf numFmtId="3" fontId="29" fillId="0" borderId="10" xfId="62" applyNumberFormat="1" applyFont="1" applyBorder="1" applyAlignment="1">
      <alignment horizontal="right" vertical="center"/>
    </xf>
    <xf numFmtId="3" fontId="29" fillId="0" borderId="20" xfId="62" applyNumberFormat="1" applyFont="1" applyBorder="1" applyAlignment="1">
      <alignment horizontal="right" vertical="center"/>
    </xf>
    <xf numFmtId="3" fontId="72" fillId="0" borderId="0" xfId="51" applyNumberFormat="1" applyFont="1"/>
    <xf numFmtId="3" fontId="31" fillId="0" borderId="0" xfId="51" applyNumberFormat="1" applyFont="1"/>
    <xf numFmtId="3" fontId="29" fillId="0" borderId="20" xfId="51" applyNumberFormat="1" applyFont="1" applyBorder="1"/>
    <xf numFmtId="3" fontId="29" fillId="0" borderId="20" xfId="62" applyNumberFormat="1" applyFont="1" applyBorder="1" applyAlignment="1">
      <alignment horizontal="right"/>
    </xf>
    <xf numFmtId="3" fontId="29" fillId="0" borderId="10" xfId="51" applyNumberFormat="1" applyFont="1" applyBorder="1"/>
    <xf numFmtId="0" fontId="29" fillId="0" borderId="19" xfId="51" applyFont="1" applyBorder="1"/>
    <xf numFmtId="49" fontId="29" fillId="0" borderId="10" xfId="51" applyNumberFormat="1" applyFont="1" applyBorder="1"/>
    <xf numFmtId="49" fontId="69" fillId="0" borderId="0" xfId="51" applyNumberFormat="1" applyFont="1"/>
    <xf numFmtId="49" fontId="29" fillId="0" borderId="0" xfId="51" applyNumberFormat="1" applyFont="1"/>
    <xf numFmtId="0" fontId="29" fillId="0" borderId="10" xfId="51" applyFont="1" applyBorder="1" applyAlignment="1">
      <alignment horizontal="left" wrapText="1"/>
    </xf>
    <xf numFmtId="0" fontId="29" fillId="0" borderId="19" xfId="51" applyFont="1" applyBorder="1" applyAlignment="1">
      <alignment vertical="center" wrapText="1"/>
    </xf>
    <xf numFmtId="49" fontId="29" fillId="0" borderId="19" xfId="51" applyNumberFormat="1" applyFont="1" applyBorder="1"/>
    <xf numFmtId="0" fontId="29" fillId="0" borderId="19" xfId="51" applyFont="1" applyBorder="1" applyAlignment="1">
      <alignment horizontal="left"/>
    </xf>
    <xf numFmtId="14" fontId="29" fillId="0" borderId="10" xfId="51" applyNumberFormat="1" applyFont="1" applyBorder="1" applyAlignment="1">
      <alignment horizontal="center" wrapText="1"/>
    </xf>
    <xf numFmtId="3" fontId="29" fillId="0" borderId="10" xfId="51" applyNumberFormat="1" applyFont="1" applyBorder="1" applyAlignment="1">
      <alignment horizontal="right"/>
    </xf>
    <xf numFmtId="0" fontId="29" fillId="0" borderId="10" xfId="51" applyFont="1" applyBorder="1" applyAlignment="1">
      <alignment horizontal="left"/>
    </xf>
    <xf numFmtId="14" fontId="69" fillId="0" borderId="10" xfId="51" applyNumberFormat="1" applyFont="1" applyBorder="1" applyAlignment="1">
      <alignment horizontal="center"/>
    </xf>
    <xf numFmtId="3" fontId="69" fillId="0" borderId="10" xfId="62" applyNumberFormat="1" applyFont="1" applyBorder="1" applyAlignment="1">
      <alignment horizontal="right"/>
    </xf>
    <xf numFmtId="0" fontId="29" fillId="0" borderId="10" xfId="62" applyFont="1" applyBorder="1" applyAlignment="1">
      <alignment horizontal="center" wrapText="1"/>
    </xf>
    <xf numFmtId="3" fontId="69" fillId="0" borderId="0" xfId="62" applyNumberFormat="1" applyFont="1" applyAlignment="1">
      <alignment horizontal="right"/>
    </xf>
    <xf numFmtId="0" fontId="29" fillId="0" borderId="10" xfId="62" applyFont="1" applyBorder="1" applyAlignment="1">
      <alignment horizontal="left" wrapText="1"/>
    </xf>
    <xf numFmtId="0" fontId="68" fillId="0" borderId="19" xfId="51" applyFont="1" applyBorder="1" applyAlignment="1">
      <alignment wrapText="1"/>
    </xf>
    <xf numFmtId="14" fontId="29" fillId="0" borderId="10" xfId="51" applyNumberFormat="1" applyFont="1" applyBorder="1" applyAlignment="1">
      <alignment horizontal="left" wrapText="1"/>
    </xf>
    <xf numFmtId="0" fontId="29" fillId="0" borderId="10" xfId="51" applyFont="1" applyBorder="1" applyAlignment="1">
      <alignment horizontal="center"/>
    </xf>
    <xf numFmtId="3" fontId="32" fillId="0" borderId="41" xfId="62" applyNumberFormat="1" applyFont="1" applyBorder="1" applyAlignment="1">
      <alignment horizontal="right"/>
    </xf>
    <xf numFmtId="3" fontId="32" fillId="0" borderId="24" xfId="62" applyNumberFormat="1" applyFont="1" applyBorder="1" applyAlignment="1">
      <alignment horizontal="right"/>
    </xf>
    <xf numFmtId="0" fontId="6" fillId="25" borderId="0" xfId="64" applyFill="1"/>
    <xf numFmtId="0" fontId="36" fillId="0" borderId="0" xfId="53" applyFont="1" applyBorder="1"/>
    <xf numFmtId="0" fontId="29" fillId="0" borderId="0" xfId="61" applyFont="1" applyAlignment="1">
      <alignment horizontal="center" vertical="center"/>
    </xf>
    <xf numFmtId="0" fontId="46" fillId="0" borderId="0" xfId="51" applyFont="1"/>
    <xf numFmtId="0" fontId="31" fillId="0" borderId="0" xfId="61" applyFont="1"/>
    <xf numFmtId="3" fontId="29" fillId="0" borderId="0" xfId="61" applyNumberFormat="1" applyFont="1"/>
    <xf numFmtId="0" fontId="32" fillId="0" borderId="0" xfId="61" applyFont="1" applyAlignment="1">
      <alignment horizontal="center"/>
    </xf>
    <xf numFmtId="0" fontId="32" fillId="0" borderId="0" xfId="61" applyFont="1" applyAlignment="1">
      <alignment horizontal="center" vertical="center"/>
    </xf>
    <xf numFmtId="0" fontId="31" fillId="0" borderId="0" xfId="61" applyFont="1" applyAlignment="1">
      <alignment horizontal="right" vertical="center"/>
    </xf>
    <xf numFmtId="0" fontId="31" fillId="0" borderId="0" xfId="61" applyFont="1" applyAlignment="1">
      <alignment horizontal="center" vertical="center" wrapText="1"/>
    </xf>
    <xf numFmtId="0" fontId="31" fillId="0" borderId="0" xfId="61" applyFont="1" applyAlignment="1">
      <alignment horizontal="center" vertical="center"/>
    </xf>
    <xf numFmtId="3" fontId="31" fillId="0" borderId="0" xfId="61" applyNumberFormat="1" applyFont="1" applyAlignment="1">
      <alignment horizontal="center" vertical="center"/>
    </xf>
    <xf numFmtId="0" fontId="29" fillId="0" borderId="0" xfId="61" applyFont="1" applyAlignment="1">
      <alignment horizontal="center" vertical="center" wrapText="1"/>
    </xf>
    <xf numFmtId="0" fontId="29" fillId="0" borderId="0" xfId="61" applyFont="1" applyAlignment="1">
      <alignment horizontal="left" vertical="center"/>
    </xf>
    <xf numFmtId="0" fontId="30" fillId="0" borderId="0" xfId="61" applyFont="1" applyAlignment="1">
      <alignment horizontal="center" vertical="center" wrapText="1"/>
    </xf>
    <xf numFmtId="0" fontId="30" fillId="0" borderId="0" xfId="61" applyFont="1" applyAlignment="1">
      <alignment horizontal="left"/>
    </xf>
    <xf numFmtId="0" fontId="29" fillId="0" borderId="0" xfId="61" applyFont="1" applyAlignment="1">
      <alignment horizontal="right"/>
    </xf>
    <xf numFmtId="49" fontId="29" fillId="0" borderId="0" xfId="61" applyNumberFormat="1" applyFont="1" applyAlignment="1">
      <alignment horizontal="right" vertical="center"/>
    </xf>
    <xf numFmtId="0" fontId="29" fillId="0" borderId="42" xfId="61" applyFont="1" applyBorder="1" applyAlignment="1">
      <alignment horizontal="center" vertical="center"/>
    </xf>
    <xf numFmtId="0" fontId="31" fillId="0" borderId="42" xfId="61" applyFont="1" applyBorder="1" applyAlignment="1">
      <alignment horizontal="right"/>
    </xf>
    <xf numFmtId="0" fontId="31" fillId="0" borderId="42" xfId="61" applyFont="1" applyBorder="1" applyAlignment="1">
      <alignment horizontal="center" vertical="center"/>
    </xf>
    <xf numFmtId="3" fontId="31" fillId="0" borderId="42" xfId="61" applyNumberFormat="1" applyFont="1" applyBorder="1"/>
    <xf numFmtId="0" fontId="29" fillId="0" borderId="11" xfId="61" applyFont="1" applyBorder="1" applyAlignment="1">
      <alignment horizontal="center" vertical="center"/>
    </xf>
    <xf numFmtId="0" fontId="31" fillId="0" borderId="11" xfId="61" applyFont="1" applyBorder="1" applyAlignment="1">
      <alignment horizontal="right"/>
    </xf>
    <xf numFmtId="0" fontId="31" fillId="0" borderId="11" xfId="61" applyFont="1" applyBorder="1" applyAlignment="1">
      <alignment horizontal="center" vertical="center"/>
    </xf>
    <xf numFmtId="3" fontId="31" fillId="0" borderId="11" xfId="61" applyNumberFormat="1" applyFont="1" applyBorder="1"/>
    <xf numFmtId="3" fontId="31" fillId="0" borderId="0" xfId="61" applyNumberFormat="1" applyFont="1"/>
    <xf numFmtId="3" fontId="32" fillId="0" borderId="11" xfId="61" applyNumberFormat="1" applyFont="1" applyBorder="1"/>
    <xf numFmtId="0" fontId="30" fillId="0" borderId="0" xfId="61" applyFont="1" applyAlignment="1">
      <alignment horizontal="center" vertical="center"/>
    </xf>
    <xf numFmtId="0" fontId="29" fillId="0" borderId="0" xfId="51" applyFont="1" applyAlignment="1">
      <alignment horizontal="right"/>
    </xf>
    <xf numFmtId="0" fontId="5" fillId="0" borderId="11" xfId="51" applyBorder="1"/>
    <xf numFmtId="0" fontId="31" fillId="0" borderId="11" xfId="51" applyFont="1" applyBorder="1" applyAlignment="1">
      <alignment horizontal="right"/>
    </xf>
    <xf numFmtId="0" fontId="31" fillId="0" borderId="0" xfId="51" applyFont="1" applyAlignment="1">
      <alignment horizontal="right"/>
    </xf>
    <xf numFmtId="0" fontId="72" fillId="0" borderId="0" xfId="61" applyFont="1" applyAlignment="1">
      <alignment horizontal="center" vertical="center"/>
    </xf>
    <xf numFmtId="3" fontId="72" fillId="0" borderId="0" xfId="61" applyNumberFormat="1" applyFont="1"/>
    <xf numFmtId="49" fontId="29" fillId="0" borderId="0" xfId="61" applyNumberFormat="1" applyFont="1" applyAlignment="1">
      <alignment horizontal="right" vertical="center" wrapText="1"/>
    </xf>
    <xf numFmtId="0" fontId="29" fillId="0" borderId="0" xfId="51" applyFont="1" applyAlignment="1">
      <alignment horizontal="left" vertical="center"/>
    </xf>
    <xf numFmtId="0" fontId="5" fillId="0" borderId="0" xfId="51" applyAlignment="1">
      <alignment horizontal="center"/>
    </xf>
    <xf numFmtId="0" fontId="29" fillId="0" borderId="0" xfId="51" applyFont="1" applyAlignment="1">
      <alignment horizontal="left"/>
    </xf>
    <xf numFmtId="0" fontId="30" fillId="0" borderId="0" xfId="51" applyFont="1" applyAlignment="1">
      <alignment horizontal="left"/>
    </xf>
    <xf numFmtId="0" fontId="30" fillId="0" borderId="0" xfId="51" applyFont="1" applyAlignment="1">
      <alignment horizontal="right"/>
    </xf>
    <xf numFmtId="3" fontId="29" fillId="0" borderId="0" xfId="61" applyNumberFormat="1" applyFont="1" applyAlignment="1">
      <alignment horizontal="right" vertical="center" wrapText="1"/>
    </xf>
    <xf numFmtId="0" fontId="29" fillId="0" borderId="0" xfId="61" applyFont="1" applyAlignment="1">
      <alignment horizontal="right" vertical="center"/>
    </xf>
    <xf numFmtId="3" fontId="31" fillId="0" borderId="11" xfId="61" applyNumberFormat="1" applyFont="1" applyBorder="1" applyAlignment="1">
      <alignment horizontal="right" vertical="center"/>
    </xf>
    <xf numFmtId="3" fontId="31" fillId="0" borderId="0" xfId="61" applyNumberFormat="1" applyFont="1" applyAlignment="1">
      <alignment horizontal="right" vertical="center"/>
    </xf>
    <xf numFmtId="0" fontId="41" fillId="0" borderId="0" xfId="61" applyFont="1" applyAlignment="1">
      <alignment horizontal="center" vertical="center"/>
    </xf>
    <xf numFmtId="3" fontId="47" fillId="0" borderId="0" xfId="61" applyNumberFormat="1" applyFont="1"/>
    <xf numFmtId="3" fontId="32" fillId="0" borderId="0" xfId="61" applyNumberFormat="1" applyFont="1"/>
    <xf numFmtId="0" fontId="29" fillId="0" borderId="0" xfId="61" applyFont="1"/>
    <xf numFmtId="3" fontId="32" fillId="0" borderId="0" xfId="61" applyNumberFormat="1" applyFont="1" applyAlignment="1">
      <alignment horizontal="center"/>
    </xf>
    <xf numFmtId="49" fontId="31" fillId="0" borderId="11" xfId="61" applyNumberFormat="1" applyFont="1" applyBorder="1" applyAlignment="1">
      <alignment horizontal="right" vertical="center"/>
    </xf>
    <xf numFmtId="49" fontId="31" fillId="0" borderId="0" xfId="61" applyNumberFormat="1" applyFont="1" applyAlignment="1">
      <alignment horizontal="right" vertical="center"/>
    </xf>
    <xf numFmtId="0" fontId="29" fillId="0" borderId="0" xfId="51" applyFont="1" applyAlignment="1">
      <alignment wrapText="1"/>
    </xf>
    <xf numFmtId="3" fontId="53" fillId="0" borderId="0" xfId="64" applyNumberFormat="1" applyFont="1" applyFill="1" applyAlignment="1">
      <alignment horizontal="right"/>
    </xf>
    <xf numFmtId="0" fontId="53" fillId="0" borderId="0" xfId="64" applyFont="1" applyFill="1"/>
    <xf numFmtId="0" fontId="53" fillId="0" borderId="10" xfId="64" applyFont="1" applyFill="1" applyBorder="1" applyAlignment="1">
      <alignment wrapText="1"/>
    </xf>
    <xf numFmtId="0" fontId="55" fillId="0" borderId="10" xfId="64" applyFont="1" applyFill="1" applyBorder="1"/>
    <xf numFmtId="0" fontId="50" fillId="0" borderId="0" xfId="65" applyFont="1" applyFill="1" applyAlignment="1">
      <alignment horizontal="right"/>
    </xf>
    <xf numFmtId="0" fontId="5" fillId="0" borderId="0" xfId="51" applyFill="1" applyAlignment="1">
      <alignment wrapText="1"/>
    </xf>
    <xf numFmtId="0" fontId="5" fillId="0" borderId="43" xfId="51" applyFont="1" applyFill="1" applyBorder="1" applyAlignment="1">
      <alignment wrapText="1"/>
    </xf>
    <xf numFmtId="0" fontId="5" fillId="0" borderId="43" xfId="51" applyFill="1" applyBorder="1"/>
    <xf numFmtId="0" fontId="29" fillId="0" borderId="0" xfId="62" applyFont="1" applyAlignment="1">
      <alignment horizontal="center"/>
    </xf>
    <xf numFmtId="0" fontId="5" fillId="0" borderId="0" xfId="52"/>
    <xf numFmtId="0" fontId="47" fillId="0" borderId="0" xfId="61" applyFont="1" applyAlignment="1">
      <alignment horizontal="right"/>
    </xf>
    <xf numFmtId="0" fontId="31" fillId="0" borderId="0" xfId="61" applyFont="1" applyAlignment="1">
      <alignment horizontal="center"/>
    </xf>
    <xf numFmtId="0" fontId="31" fillId="0" borderId="0" xfId="61" applyFont="1" applyAlignment="1">
      <alignment horizontal="right"/>
    </xf>
    <xf numFmtId="49" fontId="67" fillId="24" borderId="10" xfId="51" applyNumberFormat="1" applyFont="1" applyFill="1" applyBorder="1" applyAlignment="1">
      <alignment wrapText="1"/>
    </xf>
    <xf numFmtId="14" fontId="5" fillId="0" borderId="0" xfId="51" applyNumberFormat="1"/>
    <xf numFmtId="49" fontId="29" fillId="24" borderId="10" xfId="51" applyNumberFormat="1" applyFont="1" applyFill="1" applyBorder="1" applyAlignment="1">
      <alignment wrapText="1"/>
    </xf>
    <xf numFmtId="14" fontId="29" fillId="24" borderId="10" xfId="51" applyNumberFormat="1" applyFont="1" applyFill="1" applyBorder="1" applyAlignment="1">
      <alignment horizontal="center"/>
    </xf>
    <xf numFmtId="164" fontId="29" fillId="24" borderId="10" xfId="62" applyNumberFormat="1" applyFont="1" applyFill="1" applyBorder="1" applyAlignment="1">
      <alignment horizontal="right" wrapText="1"/>
    </xf>
    <xf numFmtId="0" fontId="73" fillId="0" borderId="0" xfId="51" applyFont="1"/>
    <xf numFmtId="0" fontId="29" fillId="0" borderId="41" xfId="62" applyFont="1" applyBorder="1" applyAlignment="1">
      <alignment horizontal="right"/>
    </xf>
    <xf numFmtId="164" fontId="29" fillId="0" borderId="41" xfId="62" applyNumberFormat="1" applyFont="1" applyBorder="1" applyAlignment="1">
      <alignment horizontal="right" wrapText="1"/>
    </xf>
    <xf numFmtId="3" fontId="30" fillId="0" borderId="0" xfId="62" applyNumberFormat="1" applyFont="1"/>
    <xf numFmtId="3" fontId="30" fillId="0" borderId="0" xfId="62" applyNumberFormat="1" applyFont="1" applyAlignment="1">
      <alignment horizontal="right"/>
    </xf>
    <xf numFmtId="0" fontId="32" fillId="0" borderId="0" xfId="53" applyFont="1" applyBorder="1" applyAlignment="1">
      <alignment horizontal="center" wrapText="1"/>
    </xf>
    <xf numFmtId="0" fontId="5" fillId="0" borderId="0" xfId="52"/>
    <xf numFmtId="0" fontId="25" fillId="0" borderId="0" xfId="66" applyFont="1" applyFill="1" applyAlignment="1">
      <alignment horizontal="center"/>
    </xf>
    <xf numFmtId="0" fontId="25" fillId="0" borderId="10" xfId="67" applyFont="1" applyFill="1" applyBorder="1" applyAlignment="1">
      <alignment horizontal="center"/>
    </xf>
    <xf numFmtId="0" fontId="24" fillId="0" borderId="10" xfId="67" applyFont="1" applyFill="1" applyBorder="1" applyAlignment="1">
      <alignment horizontal="center"/>
    </xf>
    <xf numFmtId="0" fontId="44" fillId="0" borderId="0" xfId="59" applyFont="1" applyAlignment="1">
      <alignment horizontal="center" wrapText="1"/>
    </xf>
    <xf numFmtId="0" fontId="44" fillId="0" borderId="0" xfId="59" applyFont="1" applyAlignment="1">
      <alignment horizontal="center" vertical="center" wrapText="1"/>
    </xf>
    <xf numFmtId="0" fontId="50" fillId="0" borderId="0" xfId="51" applyFont="1" applyAlignment="1">
      <alignment horizontal="center"/>
    </xf>
    <xf numFmtId="0" fontId="50" fillId="0" borderId="10" xfId="51" applyFont="1" applyBorder="1" applyAlignment="1">
      <alignment horizontal="center" vertical="center"/>
    </xf>
    <xf numFmtId="0" fontId="50" fillId="0" borderId="10" xfId="51" applyFont="1" applyBorder="1" applyAlignment="1">
      <alignment horizontal="center" vertical="center" wrapText="1"/>
    </xf>
    <xf numFmtId="0" fontId="51" fillId="0" borderId="10" xfId="51" applyFont="1" applyBorder="1" applyAlignment="1">
      <alignment horizontal="center"/>
    </xf>
    <xf numFmtId="0" fontId="50" fillId="0" borderId="43" xfId="51" applyFont="1" applyBorder="1" applyAlignment="1">
      <alignment horizontal="center" vertical="center"/>
    </xf>
    <xf numFmtId="0" fontId="50" fillId="0" borderId="12" xfId="51" applyFont="1" applyBorder="1" applyAlignment="1">
      <alignment horizontal="center" vertical="center"/>
    </xf>
    <xf numFmtId="0" fontId="50" fillId="0" borderId="43" xfId="51" applyFont="1" applyBorder="1" applyAlignment="1">
      <alignment horizontal="center" vertical="center" wrapText="1"/>
    </xf>
    <xf numFmtId="0" fontId="50" fillId="0" borderId="12" xfId="51" applyFont="1" applyBorder="1" applyAlignment="1">
      <alignment horizontal="center" vertical="center" wrapText="1"/>
    </xf>
    <xf numFmtId="3" fontId="50" fillId="0" borderId="43" xfId="51" applyNumberFormat="1" applyFont="1" applyBorder="1" applyAlignment="1">
      <alignment horizontal="center" vertical="center" wrapText="1"/>
    </xf>
    <xf numFmtId="3" fontId="50" fillId="0" borderId="12" xfId="51" applyNumberFormat="1" applyFont="1" applyBorder="1" applyAlignment="1">
      <alignment horizontal="center" vertical="center"/>
    </xf>
    <xf numFmtId="0" fontId="35" fillId="0" borderId="0" xfId="53" applyFont="1" applyFill="1" applyBorder="1" applyAlignment="1">
      <alignment horizontal="right"/>
    </xf>
    <xf numFmtId="0" fontId="51" fillId="0" borderId="0" xfId="62" applyFont="1" applyAlignment="1">
      <alignment horizontal="center"/>
    </xf>
    <xf numFmtId="0" fontId="5" fillId="0" borderId="0" xfId="51" applyAlignment="1">
      <alignment wrapText="1"/>
    </xf>
    <xf numFmtId="0" fontId="29" fillId="0" borderId="0" xfId="62" applyFont="1" applyAlignment="1">
      <alignment horizontal="center"/>
    </xf>
    <xf numFmtId="0" fontId="29" fillId="0" borderId="32" xfId="62" applyFont="1" applyBorder="1" applyAlignment="1">
      <alignment horizontal="center" vertical="center" wrapText="1"/>
    </xf>
    <xf numFmtId="0" fontId="29" fillId="0" borderId="10" xfId="62" applyFont="1" applyBorder="1" applyAlignment="1">
      <alignment horizontal="center" vertical="center" wrapText="1"/>
    </xf>
    <xf numFmtId="49" fontId="29" fillId="0" borderId="32" xfId="62" applyNumberFormat="1" applyFont="1" applyBorder="1" applyAlignment="1">
      <alignment horizontal="center" vertical="center" wrapText="1"/>
    </xf>
    <xf numFmtId="49" fontId="29" fillId="0" borderId="10" xfId="62" applyNumberFormat="1" applyFont="1" applyBorder="1" applyAlignment="1">
      <alignment horizontal="center" vertical="center" wrapText="1"/>
    </xf>
    <xf numFmtId="0" fontId="29" fillId="0" borderId="32" xfId="62" applyFont="1" applyBorder="1" applyAlignment="1">
      <alignment horizontal="center" wrapText="1"/>
    </xf>
    <xf numFmtId="0" fontId="29" fillId="0" borderId="10" xfId="62" applyFont="1" applyBorder="1" applyAlignment="1">
      <alignment horizontal="center" wrapText="1"/>
    </xf>
    <xf numFmtId="0" fontId="32" fillId="0" borderId="22" xfId="62" applyFont="1" applyBorder="1" applyAlignment="1">
      <alignment horizontal="right"/>
    </xf>
    <xf numFmtId="0" fontId="32" fillId="0" borderId="41" xfId="62" applyFont="1" applyBorder="1" applyAlignment="1">
      <alignment horizontal="right"/>
    </xf>
    <xf numFmtId="0" fontId="32" fillId="0" borderId="16" xfId="62" applyFont="1" applyBorder="1" applyAlignment="1">
      <alignment horizontal="center" vertical="center" wrapText="1"/>
    </xf>
    <xf numFmtId="0" fontId="32" fillId="0" borderId="22" xfId="62" applyFont="1" applyBorder="1" applyAlignment="1">
      <alignment horizontal="center" vertical="center" wrapText="1"/>
    </xf>
    <xf numFmtId="49" fontId="32" fillId="0" borderId="32" xfId="62" applyNumberFormat="1" applyFont="1" applyBorder="1" applyAlignment="1">
      <alignment horizontal="center" vertical="center" wrapText="1"/>
    </xf>
    <xf numFmtId="49" fontId="32" fillId="0" borderId="41" xfId="62" applyNumberFormat="1" applyFont="1" applyBorder="1" applyAlignment="1">
      <alignment horizontal="center" vertical="center" wrapText="1"/>
    </xf>
    <xf numFmtId="0" fontId="32" fillId="0" borderId="66" xfId="62" applyFont="1" applyBorder="1" applyAlignment="1">
      <alignment horizontal="center" vertical="center" wrapText="1"/>
    </xf>
    <xf numFmtId="0" fontId="32" fillId="0" borderId="67" xfId="62" applyFont="1" applyBorder="1" applyAlignment="1">
      <alignment horizontal="center" vertical="center" wrapText="1"/>
    </xf>
    <xf numFmtId="0" fontId="32" fillId="0" borderId="32" xfId="62" applyFont="1" applyBorder="1" applyAlignment="1">
      <alignment horizontal="center" vertical="center" wrapText="1"/>
    </xf>
    <xf numFmtId="0" fontId="32" fillId="0" borderId="41" xfId="62" applyFont="1" applyBorder="1" applyAlignment="1">
      <alignment horizontal="center" vertical="center" wrapText="1"/>
    </xf>
    <xf numFmtId="0" fontId="32" fillId="0" borderId="17" xfId="62" applyFont="1" applyBorder="1" applyAlignment="1">
      <alignment horizontal="center" vertical="center" wrapText="1"/>
    </xf>
    <xf numFmtId="0" fontId="32" fillId="0" borderId="24" xfId="62" applyFont="1" applyBorder="1" applyAlignment="1">
      <alignment horizontal="center" vertical="center" wrapText="1"/>
    </xf>
    <xf numFmtId="0" fontId="54" fillId="0" borderId="0" xfId="64" applyFont="1" applyFill="1" applyAlignment="1">
      <alignment horizontal="center"/>
    </xf>
    <xf numFmtId="0" fontId="5" fillId="0" borderId="0" xfId="51" applyFill="1" applyAlignment="1">
      <alignment horizontal="left" wrapText="1"/>
    </xf>
    <xf numFmtId="0" fontId="5" fillId="0" borderId="0" xfId="51" applyFont="1" applyFill="1" applyAlignment="1">
      <alignment horizontal="right"/>
    </xf>
    <xf numFmtId="0" fontId="5" fillId="0" borderId="0" xfId="51" applyFont="1" applyFill="1" applyAlignment="1">
      <alignment horizontal="left" wrapText="1"/>
    </xf>
    <xf numFmtId="0" fontId="48" fillId="0" borderId="0" xfId="51" applyFont="1" applyFill="1" applyAlignment="1">
      <alignment horizontal="left" wrapText="1"/>
    </xf>
    <xf numFmtId="0" fontId="5" fillId="0" borderId="0" xfId="51" applyFill="1" applyAlignment="1">
      <alignment horizontal="left"/>
    </xf>
    <xf numFmtId="0" fontId="50" fillId="0" borderId="0" xfId="65" applyFont="1" applyAlignment="1">
      <alignment horizontal="center"/>
    </xf>
    <xf numFmtId="0" fontId="41" fillId="0" borderId="0" xfId="51" applyFont="1" applyAlignment="1">
      <alignment horizontal="right"/>
    </xf>
    <xf numFmtId="0" fontId="47" fillId="0" borderId="0" xfId="51" applyFont="1" applyAlignment="1">
      <alignment horizontal="center"/>
    </xf>
    <xf numFmtId="0" fontId="47" fillId="0" borderId="0" xfId="61" applyFont="1" applyAlignment="1">
      <alignment horizontal="right"/>
    </xf>
    <xf numFmtId="0" fontId="31" fillId="0" borderId="0" xfId="61" applyFont="1" applyAlignment="1">
      <alignment horizontal="center"/>
    </xf>
    <xf numFmtId="0" fontId="47" fillId="0" borderId="0" xfId="61" applyFont="1" applyAlignment="1">
      <alignment horizontal="center"/>
    </xf>
    <xf numFmtId="0" fontId="31" fillId="0" borderId="0" xfId="61" applyFont="1" applyAlignment="1">
      <alignment horizontal="right"/>
    </xf>
    <xf numFmtId="0" fontId="35" fillId="0" borderId="10" xfId="53" applyFont="1" applyBorder="1"/>
    <xf numFmtId="0" fontId="25" fillId="0" borderId="10" xfId="53" applyFont="1" applyBorder="1" applyAlignment="1">
      <alignment horizontal="right"/>
    </xf>
    <xf numFmtId="0" fontId="25" fillId="0" borderId="13" xfId="53" applyFont="1" applyBorder="1"/>
    <xf numFmtId="3" fontId="25" fillId="0" borderId="10" xfId="53" applyNumberFormat="1" applyFont="1" applyBorder="1"/>
    <xf numFmtId="0" fontId="35" fillId="0" borderId="12" xfId="53" applyFont="1" applyBorder="1"/>
    <xf numFmtId="0" fontId="25" fillId="0" borderId="12" xfId="53" applyFont="1" applyBorder="1" applyAlignment="1">
      <alignment horizontal="right"/>
    </xf>
    <xf numFmtId="0" fontId="25" fillId="0" borderId="14" xfId="53" applyFont="1" applyBorder="1"/>
    <xf numFmtId="3" fontId="37" fillId="0" borderId="24" xfId="53" applyNumberFormat="1" applyFont="1" applyBorder="1"/>
    <xf numFmtId="3" fontId="37" fillId="0" borderId="41" xfId="53" applyNumberFormat="1" applyFont="1" applyBorder="1"/>
    <xf numFmtId="3" fontId="37" fillId="0" borderId="33" xfId="53" applyNumberFormat="1" applyFont="1" applyBorder="1"/>
    <xf numFmtId="0" fontId="37" fillId="0" borderId="23" xfId="53" applyFont="1" applyBorder="1"/>
    <xf numFmtId="0" fontId="35" fillId="0" borderId="24" xfId="53" applyFont="1" applyBorder="1" applyAlignment="1">
      <alignment horizontal="right"/>
    </xf>
    <xf numFmtId="0" fontId="35" fillId="0" borderId="22" xfId="53" applyFont="1" applyBorder="1"/>
    <xf numFmtId="3" fontId="35" fillId="0" borderId="35" xfId="53" applyNumberFormat="1" applyFont="1" applyBorder="1"/>
    <xf numFmtId="3" fontId="35" fillId="0" borderId="10" xfId="53" applyNumberFormat="1" applyFont="1" applyBorder="1"/>
    <xf numFmtId="3" fontId="35" fillId="0" borderId="31" xfId="53" applyNumberFormat="1" applyFont="1" applyBorder="1"/>
    <xf numFmtId="0" fontId="35" fillId="0" borderId="21" xfId="53" applyFont="1" applyBorder="1"/>
    <xf numFmtId="0" fontId="35" fillId="0" borderId="20" xfId="53" applyFont="1" applyBorder="1" applyAlignment="1">
      <alignment horizontal="right"/>
    </xf>
    <xf numFmtId="0" fontId="35" fillId="0" borderId="19" xfId="53" applyFont="1" applyBorder="1"/>
    <xf numFmtId="0" fontId="38" fillId="0" borderId="20" xfId="53" applyFont="1" applyBorder="1" applyAlignment="1">
      <alignment horizontal="right"/>
    </xf>
    <xf numFmtId="3" fontId="36" fillId="0" borderId="35" xfId="53" applyNumberFormat="1" applyFont="1" applyBorder="1"/>
    <xf numFmtId="3" fontId="36" fillId="0" borderId="10" xfId="53" applyNumberFormat="1" applyFont="1" applyBorder="1"/>
    <xf numFmtId="3" fontId="36" fillId="0" borderId="31" xfId="53" applyNumberFormat="1" applyFont="1" applyBorder="1"/>
    <xf numFmtId="0" fontId="36" fillId="0" borderId="21" xfId="53" applyFont="1" applyBorder="1"/>
    <xf numFmtId="0" fontId="36" fillId="0" borderId="20" xfId="53" applyFont="1" applyBorder="1" applyAlignment="1">
      <alignment horizontal="right"/>
    </xf>
    <xf numFmtId="0" fontId="36" fillId="0" borderId="19" xfId="53" applyFont="1" applyBorder="1"/>
    <xf numFmtId="3" fontId="35" fillId="0" borderId="35" xfId="53" applyNumberFormat="1" applyFont="1" applyBorder="1" applyAlignment="1">
      <alignment wrapText="1"/>
    </xf>
    <xf numFmtId="3" fontId="35" fillId="0" borderId="10" xfId="53" applyNumberFormat="1" applyFont="1" applyBorder="1" applyAlignment="1">
      <alignment wrapText="1"/>
    </xf>
    <xf numFmtId="3" fontId="35" fillId="0" borderId="31" xfId="53" applyNumberFormat="1" applyFont="1" applyBorder="1" applyAlignment="1">
      <alignment wrapText="1"/>
    </xf>
    <xf numFmtId="0" fontId="35" fillId="0" borderId="35" xfId="53" applyFont="1" applyBorder="1" applyAlignment="1">
      <alignment wrapText="1"/>
    </xf>
    <xf numFmtId="0" fontId="35" fillId="0" borderId="19" xfId="53" applyFont="1" applyBorder="1" applyAlignment="1">
      <alignment wrapText="1"/>
    </xf>
    <xf numFmtId="0" fontId="37" fillId="0" borderId="20" xfId="53" applyFont="1" applyBorder="1" applyAlignment="1">
      <alignment horizontal="right"/>
    </xf>
    <xf numFmtId="3" fontId="37" fillId="0" borderId="35" xfId="53" applyNumberFormat="1" applyFont="1" applyBorder="1"/>
    <xf numFmtId="3" fontId="37" fillId="0" borderId="10" xfId="53" applyNumberFormat="1" applyFont="1" applyBorder="1"/>
    <xf numFmtId="3" fontId="37" fillId="0" borderId="31" xfId="53" applyNumberFormat="1" applyFont="1" applyBorder="1"/>
    <xf numFmtId="0" fontId="37" fillId="0" borderId="21" xfId="53" applyFont="1" applyBorder="1"/>
    <xf numFmtId="0" fontId="36" fillId="0" borderId="25" xfId="53" applyFont="1" applyBorder="1"/>
    <xf numFmtId="3" fontId="35" fillId="0" borderId="35" xfId="53" applyNumberFormat="1" applyFont="1" applyBorder="1" applyAlignment="1">
      <alignment vertical="top" wrapText="1"/>
    </xf>
    <xf numFmtId="3" fontId="35" fillId="0" borderId="10" xfId="53" applyNumberFormat="1" applyFont="1" applyBorder="1" applyAlignment="1">
      <alignment vertical="top" wrapText="1"/>
    </xf>
    <xf numFmtId="3" fontId="35" fillId="0" borderId="31" xfId="53" applyNumberFormat="1" applyFont="1" applyBorder="1" applyAlignment="1">
      <alignment vertical="top" wrapText="1"/>
    </xf>
    <xf numFmtId="0" fontId="35" fillId="0" borderId="21" xfId="53" applyFont="1" applyBorder="1" applyAlignment="1">
      <alignment vertical="top" wrapText="1"/>
    </xf>
    <xf numFmtId="0" fontId="35" fillId="0" borderId="20" xfId="53" applyFont="1" applyBorder="1" applyAlignment="1">
      <alignment horizontal="right" vertical="center"/>
    </xf>
    <xf numFmtId="3" fontId="37" fillId="0" borderId="35" xfId="51" applyNumberFormat="1" applyFont="1" applyBorder="1"/>
    <xf numFmtId="3" fontId="37" fillId="0" borderId="10" xfId="51" applyNumberFormat="1" applyFont="1" applyBorder="1"/>
    <xf numFmtId="3" fontId="37" fillId="0" borderId="31" xfId="51" applyNumberFormat="1" applyFont="1" applyBorder="1"/>
    <xf numFmtId="0" fontId="5" fillId="0" borderId="35" xfId="51" applyBorder="1"/>
    <xf numFmtId="0" fontId="5" fillId="0" borderId="34" xfId="51" applyBorder="1"/>
    <xf numFmtId="0" fontId="37" fillId="0" borderId="31" xfId="53" applyFont="1" applyBorder="1"/>
    <xf numFmtId="0" fontId="37" fillId="0" borderId="35" xfId="53" applyFont="1" applyBorder="1" applyAlignment="1">
      <alignment horizontal="right"/>
    </xf>
    <xf numFmtId="3" fontId="37" fillId="0" borderId="35" xfId="53" applyNumberFormat="1" applyFont="1" applyBorder="1" applyAlignment="1">
      <alignment wrapText="1"/>
    </xf>
    <xf numFmtId="3" fontId="37" fillId="0" borderId="10" xfId="53" applyNumberFormat="1" applyFont="1" applyBorder="1" applyAlignment="1">
      <alignment wrapText="1"/>
    </xf>
    <xf numFmtId="3" fontId="37" fillId="0" borderId="31" xfId="53" applyNumberFormat="1" applyFont="1" applyBorder="1" applyAlignment="1">
      <alignment wrapText="1"/>
    </xf>
    <xf numFmtId="0" fontId="37" fillId="0" borderId="21" xfId="53" applyFont="1" applyBorder="1" applyAlignment="1">
      <alignment wrapText="1"/>
    </xf>
    <xf numFmtId="3" fontId="38" fillId="0" borderId="35" xfId="53" applyNumberFormat="1" applyFont="1" applyBorder="1" applyAlignment="1">
      <alignment wrapText="1"/>
    </xf>
    <xf numFmtId="3" fontId="38" fillId="0" borderId="10" xfId="53" applyNumberFormat="1" applyFont="1" applyBorder="1" applyAlignment="1">
      <alignment wrapText="1"/>
    </xf>
    <xf numFmtId="3" fontId="38" fillId="0" borderId="31" xfId="53" applyNumberFormat="1" applyFont="1" applyBorder="1" applyAlignment="1">
      <alignment wrapText="1"/>
    </xf>
    <xf numFmtId="3" fontId="36" fillId="0" borderId="35" xfId="53" applyNumberFormat="1" applyFont="1" applyBorder="1" applyAlignment="1">
      <alignment wrapText="1"/>
    </xf>
    <xf numFmtId="3" fontId="36" fillId="0" borderId="10" xfId="53" applyNumberFormat="1" applyFont="1" applyBorder="1" applyAlignment="1">
      <alignment wrapText="1"/>
    </xf>
    <xf numFmtId="3" fontId="36" fillId="0" borderId="31" xfId="53" applyNumberFormat="1" applyFont="1" applyBorder="1" applyAlignment="1">
      <alignment wrapText="1"/>
    </xf>
    <xf numFmtId="3" fontId="25" fillId="0" borderId="35" xfId="53" applyNumberFormat="1" applyFont="1" applyBorder="1"/>
    <xf numFmtId="3" fontId="25" fillId="0" borderId="31" xfId="53" applyNumberFormat="1" applyFont="1" applyBorder="1"/>
    <xf numFmtId="0" fontId="35" fillId="0" borderId="20" xfId="53" applyFont="1" applyBorder="1"/>
    <xf numFmtId="0" fontId="25" fillId="0" borderId="13" xfId="53" applyFont="1" applyBorder="1" applyAlignment="1">
      <alignment horizontal="right"/>
    </xf>
    <xf numFmtId="0" fontId="37" fillId="0" borderId="34" xfId="53" applyFont="1" applyBorder="1" applyAlignment="1">
      <alignment horizontal="right"/>
    </xf>
    <xf numFmtId="0" fontId="35" fillId="0" borderId="13" xfId="53" applyFont="1" applyBorder="1"/>
    <xf numFmtId="0" fontId="35" fillId="0" borderId="35" xfId="53" applyFont="1" applyBorder="1" applyAlignment="1">
      <alignment horizontal="right"/>
    </xf>
    <xf numFmtId="0" fontId="38" fillId="0" borderId="35" xfId="53" applyFont="1" applyBorder="1" applyAlignment="1">
      <alignment horizontal="right"/>
    </xf>
    <xf numFmtId="0" fontId="37" fillId="0" borderId="19" xfId="53" applyFont="1" applyBorder="1"/>
    <xf numFmtId="0" fontId="36" fillId="0" borderId="35" xfId="53" applyFont="1" applyBorder="1" applyAlignment="1">
      <alignment horizontal="right"/>
    </xf>
    <xf numFmtId="0" fontId="27" fillId="0" borderId="19" xfId="53" applyFont="1" applyBorder="1"/>
    <xf numFmtId="0" fontId="38" fillId="0" borderId="19" xfId="53" applyFont="1" applyBorder="1"/>
    <xf numFmtId="16" fontId="35" fillId="0" borderId="21" xfId="53" applyNumberFormat="1" applyFont="1" applyBorder="1" applyAlignment="1">
      <alignment wrapText="1"/>
    </xf>
    <xf numFmtId="3" fontId="38" fillId="0" borderId="34" xfId="53" applyNumberFormat="1" applyFont="1" applyBorder="1" applyAlignment="1">
      <alignment wrapText="1"/>
    </xf>
    <xf numFmtId="0" fontId="26" fillId="0" borderId="13" xfId="53" applyFont="1" applyBorder="1"/>
    <xf numFmtId="3" fontId="35" fillId="0" borderId="20" xfId="53" applyNumberFormat="1" applyFont="1" applyBorder="1" applyAlignment="1">
      <alignment wrapText="1"/>
    </xf>
    <xf numFmtId="0" fontId="35" fillId="0" borderId="35" xfId="53" applyFont="1" applyBorder="1" applyAlignment="1">
      <alignment horizontal="right" wrapText="1"/>
    </xf>
    <xf numFmtId="3" fontId="38" fillId="0" borderId="20" xfId="53" applyNumberFormat="1" applyFont="1" applyBorder="1" applyAlignment="1">
      <alignment wrapText="1"/>
    </xf>
    <xf numFmtId="3" fontId="38" fillId="0" borderId="10" xfId="53" applyNumberFormat="1" applyFont="1" applyBorder="1"/>
    <xf numFmtId="0" fontId="38" fillId="0" borderId="35" xfId="53" applyFont="1" applyBorder="1" applyAlignment="1">
      <alignment wrapText="1"/>
    </xf>
    <xf numFmtId="0" fontId="38" fillId="0" borderId="19" xfId="53" applyFont="1" applyBorder="1" applyAlignment="1">
      <alignment wrapText="1"/>
    </xf>
    <xf numFmtId="3" fontId="35" fillId="0" borderId="20" xfId="53" applyNumberFormat="1" applyFont="1" applyBorder="1"/>
    <xf numFmtId="3" fontId="36" fillId="0" borderId="20" xfId="53" applyNumberFormat="1" applyFont="1" applyBorder="1"/>
    <xf numFmtId="3" fontId="36" fillId="0" borderId="20" xfId="53" applyNumberFormat="1" applyFont="1" applyBorder="1" applyAlignment="1">
      <alignment wrapText="1"/>
    </xf>
    <xf numFmtId="0" fontId="36" fillId="0" borderId="35" xfId="53" applyFont="1" applyBorder="1" applyAlignment="1">
      <alignment wrapText="1"/>
    </xf>
    <xf numFmtId="0" fontId="36" fillId="0" borderId="19" xfId="53" applyFont="1" applyBorder="1" applyAlignment="1">
      <alignment wrapText="1"/>
    </xf>
    <xf numFmtId="0" fontId="35" fillId="0" borderId="21" xfId="53" quotePrefix="1" applyFont="1" applyBorder="1" applyAlignment="1">
      <alignment wrapText="1"/>
    </xf>
    <xf numFmtId="49" fontId="35" fillId="0" borderId="21" xfId="53" quotePrefix="1" applyNumberFormat="1" applyFont="1" applyBorder="1" applyAlignment="1">
      <alignment wrapText="1"/>
    </xf>
    <xf numFmtId="3" fontId="37" fillId="0" borderId="20" xfId="53" applyNumberFormat="1" applyFont="1" applyBorder="1" applyAlignment="1">
      <alignment wrapText="1"/>
    </xf>
    <xf numFmtId="3" fontId="37" fillId="0" borderId="20" xfId="53" applyNumberFormat="1" applyFont="1" applyBorder="1"/>
    <xf numFmtId="0" fontId="35" fillId="0" borderId="35" xfId="53" applyFont="1" applyBorder="1" applyAlignment="1">
      <alignment horizontal="center"/>
    </xf>
    <xf numFmtId="0" fontId="37" fillId="0" borderId="19" xfId="53" applyFont="1" applyBorder="1" applyAlignment="1">
      <alignment horizontal="center"/>
    </xf>
    <xf numFmtId="0" fontId="37" fillId="0" borderId="31" xfId="53" applyFont="1" applyBorder="1" applyAlignment="1">
      <alignment wrapText="1"/>
    </xf>
    <xf numFmtId="3" fontId="35" fillId="0" borderId="19" xfId="53" applyNumberFormat="1" applyFont="1" applyBorder="1"/>
    <xf numFmtId="0" fontId="37" fillId="0" borderId="17" xfId="53" applyFont="1" applyBorder="1"/>
    <xf numFmtId="0" fontId="37" fillId="0" borderId="32" xfId="53" applyFont="1" applyBorder="1"/>
    <xf numFmtId="0" fontId="37" fillId="0" borderId="16" xfId="53" applyFont="1" applyBorder="1"/>
    <xf numFmtId="0" fontId="37" fillId="0" borderId="18" xfId="53" applyFont="1" applyBorder="1"/>
    <xf numFmtId="0" fontId="37" fillId="0" borderId="17" xfId="53" applyFont="1" applyBorder="1" applyAlignment="1">
      <alignment horizontal="right"/>
    </xf>
    <xf numFmtId="0" fontId="35" fillId="0" borderId="30" xfId="53" applyFont="1" applyBorder="1" applyAlignment="1">
      <alignment horizontal="center" wrapText="1"/>
    </xf>
    <xf numFmtId="0" fontId="35" fillId="0" borderId="29" xfId="53" applyFont="1" applyBorder="1" applyAlignment="1">
      <alignment horizontal="center" wrapText="1"/>
    </xf>
    <xf numFmtId="3" fontId="35" fillId="0" borderId="29" xfId="53" applyNumberFormat="1" applyFont="1" applyBorder="1" applyAlignment="1">
      <alignment horizontal="center" wrapText="1"/>
    </xf>
    <xf numFmtId="3" fontId="35" fillId="0" borderId="28" xfId="53" applyNumberFormat="1" applyFont="1" applyBorder="1" applyAlignment="1">
      <alignment horizontal="right"/>
    </xf>
    <xf numFmtId="0" fontId="35" fillId="0" borderId="23" xfId="53" applyFont="1" applyBorder="1"/>
    <xf numFmtId="0" fontId="5" fillId="0" borderId="39" xfId="51" applyBorder="1" applyAlignment="1">
      <alignment horizontal="center"/>
    </xf>
    <xf numFmtId="0" fontId="5" fillId="0" borderId="38" xfId="51" applyBorder="1" applyAlignment="1">
      <alignment horizontal="center"/>
    </xf>
    <xf numFmtId="1" fontId="37" fillId="0" borderId="37" xfId="53" applyNumberFormat="1" applyFont="1" applyBorder="1" applyAlignment="1">
      <alignment horizontal="center"/>
    </xf>
    <xf numFmtId="1" fontId="37" fillId="0" borderId="39" xfId="53" applyNumberFormat="1" applyFont="1" applyBorder="1" applyAlignment="1">
      <alignment horizontal="center" wrapText="1"/>
    </xf>
    <xf numFmtId="1" fontId="37" fillId="0" borderId="38" xfId="53" applyNumberFormat="1" applyFont="1" applyBorder="1" applyAlignment="1">
      <alignment horizontal="center" wrapText="1"/>
    </xf>
    <xf numFmtId="1" fontId="37" fillId="0" borderId="37" xfId="53" applyNumberFormat="1" applyFont="1" applyBorder="1" applyAlignment="1">
      <alignment horizontal="center" wrapText="1"/>
    </xf>
    <xf numFmtId="0" fontId="5" fillId="0" borderId="68" xfId="51" applyBorder="1" applyAlignment="1">
      <alignment horizontal="center" wrapText="1"/>
    </xf>
    <xf numFmtId="1" fontId="37" fillId="0" borderId="68" xfId="53" applyNumberFormat="1" applyFont="1" applyBorder="1" applyAlignment="1">
      <alignment horizontal="center" wrapText="1"/>
    </xf>
    <xf numFmtId="0" fontId="37" fillId="0" borderId="18" xfId="53" applyFont="1" applyBorder="1" applyAlignment="1">
      <alignment horizontal="center"/>
    </xf>
    <xf numFmtId="0" fontId="37" fillId="0" borderId="17" xfId="53" applyFont="1" applyBorder="1" applyAlignment="1">
      <alignment horizontal="center"/>
    </xf>
    <xf numFmtId="0" fontId="37" fillId="0" borderId="16" xfId="53" applyFont="1" applyBorder="1" applyAlignment="1">
      <alignment horizontal="center"/>
    </xf>
    <xf numFmtId="0" fontId="25" fillId="0" borderId="15" xfId="53" applyFont="1" applyBorder="1"/>
    <xf numFmtId="0" fontId="37" fillId="0" borderId="15" xfId="53" applyFont="1" applyBorder="1" applyAlignment="1">
      <alignment horizontal="center"/>
    </xf>
    <xf numFmtId="0" fontId="25" fillId="0" borderId="0" xfId="53" applyFont="1" applyBorder="1"/>
    <xf numFmtId="0" fontId="37" fillId="0" borderId="0" xfId="53" applyFont="1" applyBorder="1" applyAlignment="1">
      <alignment horizontal="center"/>
    </xf>
    <xf numFmtId="0" fontId="25" fillId="0" borderId="0" xfId="51" applyFont="1" applyAlignment="1">
      <alignment horizontal="right"/>
    </xf>
    <xf numFmtId="0" fontId="25" fillId="0" borderId="0" xfId="53" applyFont="1" applyBorder="1" applyAlignment="1">
      <alignment horizontal="right"/>
    </xf>
    <xf numFmtId="0" fontId="0" fillId="0" borderId="0" xfId="0" applyAlignment="1">
      <alignment horizontal="right"/>
    </xf>
    <xf numFmtId="3" fontId="37" fillId="0" borderId="15" xfId="53" applyNumberFormat="1" applyFont="1" applyBorder="1" applyAlignment="1">
      <alignment horizontal="center"/>
    </xf>
    <xf numFmtId="3" fontId="37" fillId="0" borderId="16" xfId="53" applyNumberFormat="1" applyFont="1" applyBorder="1" applyAlignment="1">
      <alignment horizontal="center"/>
    </xf>
    <xf numFmtId="3" fontId="37" fillId="0" borderId="17" xfId="53" applyNumberFormat="1" applyFont="1" applyBorder="1" applyAlignment="1">
      <alignment horizontal="center"/>
    </xf>
    <xf numFmtId="1" fontId="37" fillId="0" borderId="27" xfId="53" applyNumberFormat="1" applyFont="1" applyBorder="1" applyAlignment="1">
      <alignment horizontal="center" vertical="center"/>
    </xf>
    <xf numFmtId="0" fontId="37" fillId="0" borderId="22" xfId="53" applyFont="1" applyBorder="1" applyAlignment="1">
      <alignment horizontal="center" vertical="center"/>
    </xf>
    <xf numFmtId="0" fontId="35" fillId="0" borderId="24" xfId="53" applyFont="1" applyBorder="1" applyAlignment="1">
      <alignment horizontal="center" vertical="center"/>
    </xf>
    <xf numFmtId="0" fontId="37" fillId="0" borderId="33" xfId="53" applyFont="1" applyBorder="1" applyAlignment="1">
      <alignment horizontal="center" vertical="center"/>
    </xf>
    <xf numFmtId="3" fontId="35" fillId="0" borderId="37" xfId="53" applyNumberFormat="1" applyFont="1" applyBorder="1" applyAlignment="1">
      <alignment horizontal="right"/>
    </xf>
    <xf numFmtId="0" fontId="35" fillId="0" borderId="39" xfId="53" applyFont="1" applyBorder="1" applyAlignment="1">
      <alignment horizontal="center" wrapText="1"/>
    </xf>
    <xf numFmtId="0" fontId="37" fillId="0" borderId="25" xfId="53" applyFont="1" applyBorder="1" applyAlignment="1">
      <alignment horizontal="center"/>
    </xf>
    <xf numFmtId="0" fontId="37" fillId="0" borderId="26" xfId="53" applyFont="1" applyBorder="1" applyAlignment="1">
      <alignment horizontal="center"/>
    </xf>
    <xf numFmtId="0" fontId="37" fillId="0" borderId="27" xfId="53" applyFont="1" applyBorder="1"/>
    <xf numFmtId="3" fontId="37" fillId="0" borderId="69" xfId="53" applyNumberFormat="1" applyFont="1" applyBorder="1"/>
    <xf numFmtId="3" fontId="37" fillId="0" borderId="12" xfId="53" applyNumberFormat="1" applyFont="1" applyBorder="1"/>
    <xf numFmtId="3" fontId="37" fillId="0" borderId="70" xfId="53" applyNumberFormat="1" applyFont="1" applyBorder="1"/>
    <xf numFmtId="0" fontId="37" fillId="0" borderId="20" xfId="53" applyFont="1" applyBorder="1" applyAlignment="1">
      <alignment horizontal="center"/>
    </xf>
    <xf numFmtId="0" fontId="37" fillId="0" borderId="35" xfId="53" applyFont="1" applyBorder="1" applyAlignment="1">
      <alignment horizontal="center"/>
    </xf>
    <xf numFmtId="0" fontId="35" fillId="0" borderId="34" xfId="53" applyFont="1" applyBorder="1" applyAlignment="1">
      <alignment horizontal="center"/>
    </xf>
    <xf numFmtId="0" fontId="35" fillId="0" borderId="31" xfId="53" applyFont="1" applyBorder="1"/>
    <xf numFmtId="0" fontId="36" fillId="0" borderId="34" xfId="53" applyFont="1" applyBorder="1" applyAlignment="1">
      <alignment horizontal="center"/>
    </xf>
    <xf numFmtId="0" fontId="36" fillId="0" borderId="31" xfId="53" applyFont="1" applyBorder="1"/>
    <xf numFmtId="0" fontId="34" fillId="0" borderId="0" xfId="51" applyFont="1"/>
    <xf numFmtId="0" fontId="35" fillId="0" borderId="19" xfId="53" applyFont="1" applyBorder="1" applyAlignment="1">
      <alignment horizontal="center"/>
    </xf>
    <xf numFmtId="3" fontId="35" fillId="0" borderId="34" xfId="53" applyNumberFormat="1" applyFont="1" applyBorder="1"/>
    <xf numFmtId="0" fontId="36" fillId="0" borderId="19" xfId="53" applyFont="1" applyBorder="1" applyAlignment="1">
      <alignment horizontal="center"/>
    </xf>
    <xf numFmtId="0" fontId="36" fillId="0" borderId="35" xfId="53" applyFont="1" applyBorder="1" applyAlignment="1">
      <alignment horizontal="center"/>
    </xf>
    <xf numFmtId="3" fontId="36" fillId="0" borderId="34" xfId="53" applyNumberFormat="1" applyFont="1" applyBorder="1"/>
    <xf numFmtId="3" fontId="37" fillId="0" borderId="31" xfId="53" applyNumberFormat="1" applyFont="1" applyBorder="1" applyAlignment="1">
      <alignment horizontal="right"/>
    </xf>
    <xf numFmtId="3" fontId="37" fillId="0" borderId="10" xfId="53" applyNumberFormat="1" applyFont="1" applyBorder="1" applyAlignment="1">
      <alignment horizontal="right"/>
    </xf>
    <xf numFmtId="3" fontId="37" fillId="0" borderId="35" xfId="53" applyNumberFormat="1" applyFont="1" applyBorder="1" applyAlignment="1">
      <alignment horizontal="right"/>
    </xf>
    <xf numFmtId="0" fontId="35" fillId="0" borderId="31" xfId="53" applyFont="1" applyBorder="1" applyAlignment="1">
      <alignment wrapText="1"/>
    </xf>
    <xf numFmtId="0" fontId="35" fillId="0" borderId="34" xfId="53" applyFont="1" applyBorder="1"/>
    <xf numFmtId="0" fontId="38" fillId="0" borderId="31" xfId="53" applyFont="1" applyBorder="1"/>
    <xf numFmtId="3" fontId="38" fillId="0" borderId="31" xfId="53" applyNumberFormat="1" applyFont="1" applyBorder="1"/>
    <xf numFmtId="3" fontId="38" fillId="0" borderId="35" xfId="53" applyNumberFormat="1" applyFont="1" applyBorder="1"/>
    <xf numFmtId="16" fontId="35" fillId="0" borderId="31" xfId="53" applyNumberFormat="1" applyFont="1" applyBorder="1" applyAlignment="1">
      <alignment wrapText="1"/>
    </xf>
    <xf numFmtId="0" fontId="35" fillId="0" borderId="19" xfId="53" applyFont="1" applyBorder="1" applyAlignment="1">
      <alignment horizontal="center" wrapText="1"/>
    </xf>
    <xf numFmtId="0" fontId="38" fillId="0" borderId="35" xfId="53" applyFont="1" applyBorder="1" applyAlignment="1">
      <alignment horizontal="center"/>
    </xf>
    <xf numFmtId="16" fontId="35" fillId="0" borderId="31" xfId="53" applyNumberFormat="1" applyFont="1" applyBorder="1"/>
    <xf numFmtId="0" fontId="35" fillId="0" borderId="35" xfId="53" applyFont="1" applyBorder="1" applyAlignment="1">
      <alignment horizontal="center" wrapText="1"/>
    </xf>
    <xf numFmtId="0" fontId="39" fillId="0" borderId="35" xfId="53" applyFont="1" applyBorder="1"/>
    <xf numFmtId="0" fontId="39" fillId="0" borderId="31" xfId="53" applyFont="1" applyBorder="1"/>
    <xf numFmtId="0" fontId="35" fillId="0" borderId="35" xfId="53" applyFont="1" applyBorder="1"/>
    <xf numFmtId="0" fontId="35" fillId="0" borderId="40" xfId="53" applyFont="1" applyBorder="1"/>
    <xf numFmtId="0" fontId="37" fillId="0" borderId="33" xfId="53" applyFont="1" applyBorder="1"/>
    <xf numFmtId="3" fontId="37" fillId="0" borderId="40" xfId="53" applyNumberFormat="1" applyFont="1" applyBorder="1"/>
    <xf numFmtId="0" fontId="35" fillId="0" borderId="14" xfId="53" applyFont="1" applyBorder="1"/>
    <xf numFmtId="0" fontId="29" fillId="0" borderId="36" xfId="53" applyFont="1" applyBorder="1" applyAlignment="1">
      <alignment horizontal="center" vertical="center" wrapText="1"/>
    </xf>
    <xf numFmtId="0" fontId="29" fillId="0" borderId="13" xfId="53" applyFont="1" applyBorder="1" applyAlignment="1">
      <alignment horizontal="center" vertical="center" wrapText="1"/>
    </xf>
    <xf numFmtId="0" fontId="31" fillId="0" borderId="10" xfId="53" applyFont="1" applyBorder="1" applyAlignment="1">
      <alignment horizontal="center" vertical="center" wrapText="1"/>
    </xf>
    <xf numFmtId="0" fontId="29" fillId="0" borderId="10" xfId="53" applyFont="1" applyBorder="1" applyAlignment="1">
      <alignment horizontal="center" vertical="center" wrapText="1"/>
    </xf>
    <xf numFmtId="3" fontId="25" fillId="0" borderId="0" xfId="53" applyNumberFormat="1" applyFont="1"/>
    <xf numFmtId="0" fontId="29" fillId="0" borderId="0" xfId="53" applyFont="1" applyAlignment="1">
      <alignment horizontal="right"/>
    </xf>
    <xf numFmtId="0" fontId="43" fillId="0" borderId="0" xfId="59" applyFont="1"/>
    <xf numFmtId="0" fontId="43" fillId="0" borderId="0" xfId="51" applyFont="1"/>
    <xf numFmtId="3" fontId="45" fillId="0" borderId="10" xfId="59" applyNumberFormat="1" applyFont="1" applyBorder="1" applyAlignment="1">
      <alignment horizontal="right"/>
    </xf>
    <xf numFmtId="0" fontId="43" fillId="0" borderId="10" xfId="59" applyFont="1" applyBorder="1"/>
    <xf numFmtId="0" fontId="43" fillId="0" borderId="10" xfId="51" applyFont="1" applyBorder="1"/>
    <xf numFmtId="0" fontId="5" fillId="0" borderId="10" xfId="51" applyBorder="1"/>
    <xf numFmtId="0" fontId="43" fillId="0" borderId="10" xfId="59" applyFont="1" applyBorder="1" applyAlignment="1">
      <alignment horizontal="center" vertical="center"/>
    </xf>
    <xf numFmtId="0" fontId="43" fillId="0" borderId="10" xfId="59" applyFont="1" applyBorder="1" applyAlignment="1">
      <alignment vertical="center"/>
    </xf>
    <xf numFmtId="3" fontId="43" fillId="0" borderId="10" xfId="59" applyNumberFormat="1" applyFont="1" applyBorder="1" applyAlignment="1">
      <alignment horizontal="center"/>
    </xf>
    <xf numFmtId="0" fontId="43" fillId="0" borderId="10" xfId="59" applyFont="1" applyBorder="1" applyAlignment="1">
      <alignment horizontal="center"/>
    </xf>
    <xf numFmtId="0" fontId="43" fillId="0" borderId="10" xfId="59" applyFont="1" applyBorder="1" applyAlignment="1">
      <alignment horizontal="center" wrapText="1"/>
    </xf>
    <xf numFmtId="3" fontId="43" fillId="0" borderId="10" xfId="59" applyNumberFormat="1" applyFont="1" applyBorder="1"/>
    <xf numFmtId="3" fontId="43" fillId="0" borderId="10" xfId="51" applyNumberFormat="1" applyFont="1" applyBorder="1"/>
    <xf numFmtId="0" fontId="43" fillId="0" borderId="10" xfId="59" applyFont="1" applyBorder="1" applyAlignment="1">
      <alignment vertical="center" wrapText="1"/>
    </xf>
    <xf numFmtId="0" fontId="43" fillId="0" borderId="10" xfId="51" applyFont="1" applyBorder="1" applyAlignment="1">
      <alignment wrapText="1"/>
    </xf>
    <xf numFmtId="3" fontId="45" fillId="0" borderId="10" xfId="59" applyNumberFormat="1" applyFont="1" applyBorder="1"/>
    <xf numFmtId="0" fontId="45" fillId="0" borderId="10" xfId="51" applyFont="1" applyBorder="1"/>
    <xf numFmtId="3" fontId="45" fillId="0" borderId="10" xfId="51" applyNumberFormat="1" applyFont="1" applyBorder="1"/>
    <xf numFmtId="3" fontId="43" fillId="0" borderId="10" xfId="59" applyNumberFormat="1" applyFont="1" applyBorder="1" applyAlignment="1">
      <alignment vertical="center"/>
    </xf>
    <xf numFmtId="3" fontId="44" fillId="0" borderId="10" xfId="51" applyNumberFormat="1" applyFont="1" applyBorder="1"/>
    <xf numFmtId="0" fontId="58" fillId="0" borderId="0" xfId="65" applyFont="1" applyAlignment="1">
      <alignment horizontal="center"/>
    </xf>
    <xf numFmtId="0" fontId="59" fillId="0" borderId="0" xfId="65" applyFont="1"/>
    <xf numFmtId="0" fontId="58" fillId="0" borderId="0" xfId="65" applyFont="1"/>
    <xf numFmtId="0" fontId="52" fillId="0" borderId="44" xfId="65" applyBorder="1"/>
    <xf numFmtId="0" fontId="52" fillId="0" borderId="45" xfId="65" applyBorder="1"/>
    <xf numFmtId="0" fontId="52" fillId="0" borderId="46" xfId="65" applyBorder="1"/>
    <xf numFmtId="0" fontId="52" fillId="0" borderId="47" xfId="65" applyBorder="1" applyAlignment="1">
      <alignment wrapText="1"/>
    </xf>
    <xf numFmtId="0" fontId="52" fillId="0" borderId="47" xfId="65" applyBorder="1" applyAlignment="1">
      <alignment horizontal="center" wrapText="1"/>
    </xf>
    <xf numFmtId="0" fontId="50" fillId="0" borderId="48" xfId="65" applyFont="1" applyBorder="1"/>
    <xf numFmtId="0" fontId="52" fillId="0" borderId="49" xfId="65" applyBorder="1" applyAlignment="1">
      <alignment wrapText="1"/>
    </xf>
    <xf numFmtId="0" fontId="52" fillId="0" borderId="46" xfId="65" applyBorder="1" applyAlignment="1">
      <alignment wrapText="1"/>
    </xf>
    <xf numFmtId="0" fontId="52" fillId="0" borderId="47" xfId="65" applyBorder="1"/>
    <xf numFmtId="0" fontId="52" fillId="0" borderId="50" xfId="65" applyBorder="1"/>
    <xf numFmtId="3" fontId="43" fillId="0" borderId="51" xfId="53" applyNumberFormat="1" applyFont="1" applyBorder="1"/>
    <xf numFmtId="0" fontId="60" fillId="0" borderId="34" xfId="65" applyFont="1" applyBorder="1"/>
    <xf numFmtId="0" fontId="60" fillId="0" borderId="13" xfId="65" applyFont="1" applyBorder="1"/>
    <xf numFmtId="3" fontId="52" fillId="0" borderId="36" xfId="65" applyNumberFormat="1" applyBorder="1"/>
    <xf numFmtId="3" fontId="52" fillId="0" borderId="19" xfId="65" applyNumberFormat="1" applyBorder="1"/>
    <xf numFmtId="3" fontId="52" fillId="0" borderId="13" xfId="65" applyNumberFormat="1" applyBorder="1"/>
    <xf numFmtId="3" fontId="52" fillId="0" borderId="52" xfId="65" applyNumberFormat="1" applyBorder="1"/>
    <xf numFmtId="0" fontId="61" fillId="0" borderId="53" xfId="65" applyFont="1" applyBorder="1"/>
    <xf numFmtId="0" fontId="61" fillId="0" borderId="34" xfId="65" applyFont="1" applyBorder="1"/>
    <xf numFmtId="0" fontId="61" fillId="0" borderId="13" xfId="65" applyFont="1" applyBorder="1"/>
    <xf numFmtId="0" fontId="61" fillId="0" borderId="54" xfId="65" applyFont="1" applyBorder="1"/>
    <xf numFmtId="0" fontId="61" fillId="0" borderId="55" xfId="65" applyFont="1" applyBorder="1"/>
    <xf numFmtId="0" fontId="61" fillId="0" borderId="56" xfId="65" applyFont="1" applyBorder="1"/>
    <xf numFmtId="3" fontId="52" fillId="0" borderId="57" xfId="65" applyNumberFormat="1" applyBorder="1"/>
    <xf numFmtId="3" fontId="52" fillId="0" borderId="58" xfId="65" applyNumberFormat="1" applyBorder="1"/>
    <xf numFmtId="3" fontId="52" fillId="0" borderId="59" xfId="65" applyNumberFormat="1" applyBorder="1"/>
    <xf numFmtId="3" fontId="52" fillId="0" borderId="56" xfId="65" applyNumberFormat="1" applyBorder="1"/>
    <xf numFmtId="3" fontId="52" fillId="0" borderId="60" xfId="65" applyNumberFormat="1" applyBorder="1"/>
    <xf numFmtId="0" fontId="51" fillId="0" borderId="61" xfId="65" applyFont="1" applyBorder="1"/>
    <xf numFmtId="0" fontId="51" fillId="0" borderId="62" xfId="65" applyFont="1" applyBorder="1"/>
    <xf numFmtId="0" fontId="51" fillId="0" borderId="63" xfId="65" applyFont="1" applyBorder="1"/>
    <xf numFmtId="3" fontId="52" fillId="0" borderId="64" xfId="65" applyNumberFormat="1" applyBorder="1"/>
    <xf numFmtId="3" fontId="52" fillId="0" borderId="65" xfId="65" applyNumberFormat="1" applyBorder="1"/>
    <xf numFmtId="3" fontId="52" fillId="0" borderId="63" xfId="65" applyNumberFormat="1" applyBorder="1"/>
    <xf numFmtId="0" fontId="29" fillId="25" borderId="0" xfId="61" applyFont="1" applyFill="1" applyAlignment="1">
      <alignment horizontal="center" vertical="center"/>
    </xf>
    <xf numFmtId="0" fontId="29" fillId="25" borderId="0" xfId="51" applyFont="1" applyFill="1" applyAlignment="1">
      <alignment horizontal="right"/>
    </xf>
    <xf numFmtId="0" fontId="31" fillId="25" borderId="0" xfId="61" applyFont="1" applyFill="1" applyAlignment="1">
      <alignment horizontal="center" vertical="center"/>
    </xf>
    <xf numFmtId="3" fontId="29" fillId="25" borderId="0" xfId="61" applyNumberFormat="1" applyFont="1" applyFill="1"/>
    <xf numFmtId="0" fontId="5" fillId="25" borderId="0" xfId="51" applyFill="1"/>
    <xf numFmtId="0" fontId="29" fillId="25" borderId="0" xfId="61" applyFont="1" applyFill="1" applyAlignment="1">
      <alignment horizontal="right"/>
    </xf>
    <xf numFmtId="169" fontId="29" fillId="0" borderId="0" xfId="72" applyNumberFormat="1" applyFont="1"/>
  </cellXfs>
  <cellStyles count="73">
    <cellStyle name="20% - 1. jelölőszín" xfId="1" builtinId="30" customBuiltin="1"/>
    <cellStyle name="20% - 1. jelölőszín 2" xfId="2" xr:uid="{00000000-0005-0000-0000-000001000000}"/>
    <cellStyle name="20% - 2. jelölőszín" xfId="3" builtinId="34" customBuiltin="1"/>
    <cellStyle name="20% - 2. jelölőszín 2" xfId="4" xr:uid="{00000000-0005-0000-0000-000003000000}"/>
    <cellStyle name="20% - 3. jelölőszín" xfId="5" builtinId="38" customBuiltin="1"/>
    <cellStyle name="20% - 3. jelölőszín 2" xfId="6" xr:uid="{00000000-0005-0000-0000-000005000000}"/>
    <cellStyle name="20% - 4. jelölőszín" xfId="7" builtinId="42" customBuiltin="1"/>
    <cellStyle name="20% - 4. jelölőszín 2" xfId="8" xr:uid="{00000000-0005-0000-0000-000007000000}"/>
    <cellStyle name="20% - 5. jelölőszín" xfId="9" builtinId="46" customBuiltin="1"/>
    <cellStyle name="20% - 5. jelölőszín 2" xfId="10" xr:uid="{00000000-0005-0000-0000-000009000000}"/>
    <cellStyle name="20% - 6. jelölőszín" xfId="11" builtinId="50" customBuiltin="1"/>
    <cellStyle name="20% - 6. jelölőszín 2" xfId="12" xr:uid="{00000000-0005-0000-0000-00000B000000}"/>
    <cellStyle name="40% - 1. jelölőszín" xfId="13" builtinId="31" customBuiltin="1"/>
    <cellStyle name="40% - 1. jelölőszín 2" xfId="14" xr:uid="{00000000-0005-0000-0000-00000D000000}"/>
    <cellStyle name="40% - 2. jelölőszín" xfId="15" builtinId="35" customBuiltin="1"/>
    <cellStyle name="40% - 2. jelölőszín 2" xfId="16" xr:uid="{00000000-0005-0000-0000-00000F000000}"/>
    <cellStyle name="40% - 3. jelölőszín" xfId="17" builtinId="39" customBuiltin="1"/>
    <cellStyle name="40% - 3. jelölőszín 2" xfId="18" xr:uid="{00000000-0005-0000-0000-000011000000}"/>
    <cellStyle name="40% - 4. jelölőszín" xfId="19" builtinId="43" customBuiltin="1"/>
    <cellStyle name="40% - 4. jelölőszín 2" xfId="20" xr:uid="{00000000-0005-0000-0000-000013000000}"/>
    <cellStyle name="40% - 5. jelölőszín" xfId="21" builtinId="47" customBuiltin="1"/>
    <cellStyle name="40% - 5. jelölőszín 2" xfId="22" xr:uid="{00000000-0005-0000-0000-000015000000}"/>
    <cellStyle name="40% - 6. jelölőszín" xfId="23" builtinId="51" customBuiltin="1"/>
    <cellStyle name="40% - 6. jelölőszín 2" xfId="24" xr:uid="{00000000-0005-0000-0000-000017000000}"/>
    <cellStyle name="60% - 1. jelölőszín" xfId="25" builtinId="32" customBuiltin="1"/>
    <cellStyle name="60% - 2. jelölőszín" xfId="26" builtinId="36" customBuiltin="1"/>
    <cellStyle name="60% - 3. jelölőszín" xfId="27" builtinId="40" customBuiltin="1"/>
    <cellStyle name="60% - 4. jelölőszín" xfId="28" builtinId="44" customBuiltin="1"/>
    <cellStyle name="60% - 5. jelölőszín" xfId="29" builtinId="48" customBuiltin="1"/>
    <cellStyle name="60% - 6. jelölőszín" xfId="30" builtinId="52" customBuiltin="1"/>
    <cellStyle name="Bevitel" xfId="31" builtinId="20" customBuiltin="1"/>
    <cellStyle name="Cím" xfId="32" builtinId="15" customBuiltin="1"/>
    <cellStyle name="Címsor 1" xfId="33" builtinId="16" customBuiltin="1"/>
    <cellStyle name="Címsor 2" xfId="34" builtinId="17" customBuiltin="1"/>
    <cellStyle name="Címsor 3" xfId="35" builtinId="18" customBuiltin="1"/>
    <cellStyle name="Címsor 4" xfId="36" builtinId="19" customBuiltin="1"/>
    <cellStyle name="Ellenőrzőcella" xfId="37" builtinId="23" customBuiltin="1"/>
    <cellStyle name="Ezres 2" xfId="71" xr:uid="{DBEA88C1-A741-4FA8-BA78-29E5B1D27846}"/>
    <cellStyle name="Ezres 2 2" xfId="72" xr:uid="{B32046A7-0DF0-40D0-95AE-20D10C08C9BE}"/>
    <cellStyle name="Figyelmeztetés" xfId="38" builtinId="11" customBuiltin="1"/>
    <cellStyle name="Hivatkozás" xfId="69" builtinId="8"/>
    <cellStyle name="Hivatkozott cella" xfId="39" builtinId="24" customBuiltin="1"/>
    <cellStyle name="Jegyzet" xfId="40" builtinId="10" customBuiltin="1"/>
    <cellStyle name="Jelölőszín 1" xfId="41" builtinId="29" customBuiltin="1"/>
    <cellStyle name="Jelölőszín 2" xfId="42" builtinId="33" customBuiltin="1"/>
    <cellStyle name="Jelölőszín 3" xfId="43" builtinId="37" customBuiltin="1"/>
    <cellStyle name="Jelölőszín 4" xfId="44" builtinId="41" customBuiltin="1"/>
    <cellStyle name="Jelölőszín 5" xfId="45" builtinId="45" customBuiltin="1"/>
    <cellStyle name="Jelölőszín 6" xfId="46" builtinId="49" customBuiltin="1"/>
    <cellStyle name="Jó" xfId="47" builtinId="26" customBuiltin="1"/>
    <cellStyle name="Kimenet" xfId="48" builtinId="21" customBuiltin="1"/>
    <cellStyle name="Magyarázó szöveg" xfId="49" builtinId="53" customBuiltin="1"/>
    <cellStyle name="Normál" xfId="0" builtinId="0"/>
    <cellStyle name="Normál 2" xfId="50" xr:uid="{00000000-0005-0000-0000-000033000000}"/>
    <cellStyle name="Normál 2 2" xfId="51" xr:uid="{00000000-0005-0000-0000-000034000000}"/>
    <cellStyle name="Normál 3" xfId="52" xr:uid="{00000000-0005-0000-0000-000035000000}"/>
    <cellStyle name="Normál 4" xfId="68" xr:uid="{00000000-0005-0000-0000-000036000000}"/>
    <cellStyle name="Normál_2005. 4. számú melléklet" xfId="59" xr:uid="{00000000-0005-0000-0000-000037000000}"/>
    <cellStyle name="Normál_2005. 6.számú melléklet" xfId="64" xr:uid="{00000000-0005-0000-0000-000038000000}"/>
    <cellStyle name="Normál_2005.11.sz.melléklet_10.sz.mell-2012 évi ktgvetés-12.01.24 Bea" xfId="61" xr:uid="{00000000-0005-0000-0000-000039000000}"/>
    <cellStyle name="Normál_2006 Zárszámadási rendelet 1,2,3,4,5,6,8,9,10,11,12,13,14,15 sz. mellékletei" xfId="63" xr:uid="{00000000-0005-0000-0000-00003A000000}"/>
    <cellStyle name="Normál_2009. ktv.rendelet" xfId="53" xr:uid="{00000000-0005-0000-0000-00003B000000}"/>
    <cellStyle name="Normál_3. sz. melléklet létszám" xfId="66" xr:uid="{00000000-0005-0000-0000-00003C000000}"/>
    <cellStyle name="Normál_koltsegvetes_melleklet" xfId="67" xr:uid="{00000000-0005-0000-0000-00003D000000}"/>
    <cellStyle name="Normál_költségvetési rendelet 3 4 5 5b 5c 6 9 9a 11 16a 16b mellékletei" xfId="65" xr:uid="{00000000-0005-0000-0000-00003E000000}"/>
    <cellStyle name="Normál_költségvetési rendelet 3,4,5,5b,5c,6,9,9a,11,16a,16b mellékletei-2008-3" xfId="62" xr:uid="{00000000-0005-0000-0000-00003F000000}"/>
    <cellStyle name="Normal_KTRSZJ" xfId="54" xr:uid="{00000000-0005-0000-0000-000040000000}"/>
    <cellStyle name="Összesen" xfId="55" builtinId="25" customBuiltin="1"/>
    <cellStyle name="Pénznem 2" xfId="70" xr:uid="{00000000-0005-0000-0000-000043000000}"/>
    <cellStyle name="Rossz" xfId="56" builtinId="27" customBuiltin="1"/>
    <cellStyle name="Semleges" xfId="57" builtinId="28" customBuiltin="1"/>
    <cellStyle name="Számítás" xfId="58" builtinId="22" customBuiltin="1"/>
    <cellStyle name="Százalék 2" xfId="60" xr:uid="{00000000-0005-0000-0000-00004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2022%20mell&#233;klet%20k&#246;lts&#233;gvet&#233;s%20m&#243;dos&#237;t&#225;s_22.07.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melléklet"/>
      <sheetName val="2. melléklet"/>
      <sheetName val="3. melléklet"/>
      <sheetName val="4. melléklet"/>
      <sheetName val="5. melléklet"/>
      <sheetName val="6. melléklet"/>
    </sheetNames>
    <sheetDataSet>
      <sheetData sheetId="0" refreshError="1"/>
      <sheetData sheetId="1">
        <row r="10">
          <cell r="L10">
            <v>168000</v>
          </cell>
        </row>
        <row r="11">
          <cell r="L11">
            <v>22035</v>
          </cell>
        </row>
        <row r="12">
          <cell r="L12">
            <v>18138</v>
          </cell>
        </row>
        <row r="15">
          <cell r="L15">
            <v>138</v>
          </cell>
        </row>
        <row r="21">
          <cell r="L21">
            <v>2092</v>
          </cell>
        </row>
        <row r="25">
          <cell r="L25">
            <v>4090</v>
          </cell>
        </row>
        <row r="29">
          <cell r="L29">
            <v>195800</v>
          </cell>
        </row>
        <row r="30">
          <cell r="L30">
            <v>25572</v>
          </cell>
        </row>
        <row r="31">
          <cell r="L31">
            <v>10764</v>
          </cell>
        </row>
        <row r="35">
          <cell r="L35">
            <v>509</v>
          </cell>
        </row>
        <row r="38">
          <cell r="L38">
            <v>20423</v>
          </cell>
        </row>
        <row r="43">
          <cell r="L43">
            <v>87482</v>
          </cell>
        </row>
        <row r="44">
          <cell r="L44">
            <v>11907</v>
          </cell>
        </row>
        <row r="45">
          <cell r="L45">
            <v>210578</v>
          </cell>
        </row>
        <row r="48">
          <cell r="L48">
            <v>270</v>
          </cell>
        </row>
        <row r="52">
          <cell r="L52">
            <v>70178</v>
          </cell>
        </row>
        <row r="53">
          <cell r="L53">
            <v>9072</v>
          </cell>
        </row>
        <row r="54">
          <cell r="L54">
            <v>30500</v>
          </cell>
        </row>
        <row r="57">
          <cell r="L57">
            <v>5009</v>
          </cell>
        </row>
        <row r="60">
          <cell r="L60">
            <v>599</v>
          </cell>
        </row>
        <row r="66">
          <cell r="L66">
            <v>386349</v>
          </cell>
        </row>
        <row r="67">
          <cell r="L67">
            <v>53714</v>
          </cell>
        </row>
        <row r="68">
          <cell r="L68">
            <v>68223</v>
          </cell>
        </row>
        <row r="74">
          <cell r="L74">
            <v>8947</v>
          </cell>
        </row>
        <row r="87">
          <cell r="L87">
            <v>150863</v>
          </cell>
        </row>
        <row r="97">
          <cell r="L97">
            <v>20245</v>
          </cell>
        </row>
        <row r="167">
          <cell r="L167">
            <v>1233260</v>
          </cell>
        </row>
        <row r="181">
          <cell r="L181">
            <v>20000</v>
          </cell>
        </row>
        <row r="194">
          <cell r="L194">
            <v>456330</v>
          </cell>
        </row>
        <row r="211">
          <cell r="L211">
            <v>70396</v>
          </cell>
        </row>
        <row r="217">
          <cell r="L217">
            <v>5000</v>
          </cell>
        </row>
        <row r="220">
          <cell r="L220">
            <v>3061</v>
          </cell>
        </row>
        <row r="223">
          <cell r="L223">
            <v>9000</v>
          </cell>
        </row>
        <row r="253">
          <cell r="L253">
            <v>1318624</v>
          </cell>
        </row>
        <row r="275">
          <cell r="L275">
            <v>1326035</v>
          </cell>
        </row>
        <row r="282">
          <cell r="L282">
            <v>831</v>
          </cell>
        </row>
        <row r="290">
          <cell r="L290">
            <v>17668</v>
          </cell>
        </row>
        <row r="301">
          <cell r="L301">
            <v>627237</v>
          </cell>
        </row>
        <row r="310">
          <cell r="L310">
            <v>26389</v>
          </cell>
        </row>
        <row r="311">
          <cell r="L311">
            <v>8302</v>
          </cell>
        </row>
        <row r="314">
          <cell r="L314">
            <v>57315</v>
          </cell>
        </row>
      </sheetData>
      <sheetData sheetId="2"/>
      <sheetData sheetId="3"/>
      <sheetData sheetId="4" refreshError="1"/>
      <sheetData sheetId="5"/>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gazd-b-20.asp.lgov.hu/gazd-dombovar/CORE/eur/php/formfull.php?===NAmH2AyETZ9VQM3HmZ481HGMPZmpQAm0QMccapyc3pzD2og9ypyOarmS2n9HJou5To1E2ogMlGT5HFsEIDn9xHOEIDV1QMcIJou5Jol9zMzDmZyqGMxOGClD2A1ZQBsA1Hn8021===" TargetMode="External"/><Relationship Id="rId2" Type="http://schemas.openxmlformats.org/officeDocument/2006/relationships/hyperlink" Target="https://gazd-b-20.asp.lgov.hu/gazd-dombovar/CORE/eur/php/formfull.php?===NZ1ZTB0HwM9HQZkLwMk81HGMlZ4DQAm0QMccapyc3pzD2og9ypyOarmS2n9HJou5To1E2ogMlGT5HFsEIDn9xHOEIDV1QMcIJou5Jol9zMzNGAwuQA1LJC1NGZ2LJZsA1H9o121===" TargetMode="External"/><Relationship Id="rId1" Type="http://schemas.openxmlformats.org/officeDocument/2006/relationships/hyperlink" Target="https://gazd-a-20.asp.lgov.hu/gazd-dombovar/CORE/eur/php/formfull.php?===tMuE2AvATZ9DzM0NwA581HGMFZjxwAl0QMccapyc3pzD2og9ypyOarmS2n9HJou5To1E2ogMlGT5HFsEIDn9xHOEIDV1QMcIJou5Jol9zMzLJLxqwLwOGCxMTAjLGBsA1H3r5n1==="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3A060-6760-4910-951F-285A84DC50BB}">
  <sheetPr>
    <pageSetUpPr fitToPage="1"/>
  </sheetPr>
  <dimension ref="A1:O275"/>
  <sheetViews>
    <sheetView view="pageBreakPreview" topLeftCell="A103" zoomScale="85" zoomScaleNormal="100" zoomScaleSheetLayoutView="85" workbookViewId="0">
      <selection activeCell="N3" sqref="N3"/>
    </sheetView>
  </sheetViews>
  <sheetFormatPr defaultRowHeight="16.8" x14ac:dyDescent="0.3"/>
  <cols>
    <col min="1" max="1" width="5.44140625" style="426" customWidth="1"/>
    <col min="2" max="2" width="7.33203125" style="425" customWidth="1"/>
    <col min="3" max="3" width="64.5546875" style="424" customWidth="1"/>
    <col min="4" max="4" width="11.109375" style="5" bestFit="1" customWidth="1"/>
    <col min="5" max="5" width="10.44140625" style="5" customWidth="1"/>
    <col min="6" max="7" width="8.88671875" style="5"/>
    <col min="8" max="8" width="11.109375" style="5" bestFit="1" customWidth="1"/>
    <col min="9" max="9" width="10.44140625" style="5" customWidth="1"/>
    <col min="10" max="11" width="8.88671875" style="5"/>
    <col min="12" max="12" width="11.109375" style="5" bestFit="1" customWidth="1"/>
    <col min="13" max="13" width="10.44140625" style="5" customWidth="1"/>
    <col min="14" max="15" width="8.88671875" style="5"/>
  </cols>
  <sheetData>
    <row r="1" spans="1:15" x14ac:dyDescent="0.3">
      <c r="B1" s="544"/>
      <c r="C1" s="544"/>
      <c r="D1" s="544"/>
      <c r="E1" s="544"/>
      <c r="F1" s="544"/>
      <c r="G1" s="544"/>
      <c r="H1" s="544"/>
      <c r="I1" s="544"/>
      <c r="J1" s="544"/>
      <c r="K1" s="544"/>
      <c r="L1" s="544"/>
      <c r="M1" s="544"/>
      <c r="N1" s="544"/>
      <c r="O1" s="543" t="s">
        <v>1052</v>
      </c>
    </row>
    <row r="2" spans="1:15" x14ac:dyDescent="0.3">
      <c r="A2" s="540"/>
      <c r="B2" s="167"/>
      <c r="C2" s="167"/>
      <c r="D2" s="167"/>
      <c r="E2" s="540"/>
      <c r="F2" s="540"/>
      <c r="G2" s="540"/>
      <c r="H2" s="167"/>
      <c r="I2" s="540"/>
      <c r="J2" s="540"/>
      <c r="K2" s="540"/>
      <c r="L2" s="167"/>
      <c r="M2" s="540"/>
      <c r="N2" s="540"/>
      <c r="O2" s="425" t="s">
        <v>1053</v>
      </c>
    </row>
    <row r="3" spans="1:15" x14ac:dyDescent="0.3">
      <c r="A3" s="541"/>
      <c r="B3" s="541"/>
      <c r="C3" s="541" t="s">
        <v>4</v>
      </c>
      <c r="D3" s="540"/>
      <c r="E3" s="540"/>
      <c r="F3" s="540"/>
      <c r="G3" s="540"/>
      <c r="H3" s="540"/>
      <c r="I3" s="540"/>
      <c r="J3" s="540"/>
      <c r="K3" s="540"/>
      <c r="L3" s="540"/>
      <c r="M3" s="540"/>
      <c r="N3" s="540"/>
      <c r="O3" s="540"/>
    </row>
    <row r="4" spans="1:15" ht="17.399999999999999" thickBot="1" x14ac:dyDescent="0.35">
      <c r="A4" s="539"/>
      <c r="B4" s="539"/>
      <c r="C4" s="539" t="s">
        <v>746</v>
      </c>
      <c r="D4" s="538"/>
      <c r="E4" s="538"/>
      <c r="F4" s="538"/>
      <c r="G4" s="538"/>
      <c r="H4" s="538"/>
      <c r="I4" s="538"/>
      <c r="J4" s="538"/>
      <c r="K4" s="538"/>
      <c r="L4" s="538"/>
      <c r="M4" s="538"/>
      <c r="N4" s="538"/>
      <c r="O4" s="538"/>
    </row>
    <row r="5" spans="1:15" ht="14.4" thickBot="1" x14ac:dyDescent="0.3">
      <c r="A5" s="537"/>
      <c r="B5" s="536"/>
      <c r="C5" s="535"/>
      <c r="D5" s="534" t="s">
        <v>1051</v>
      </c>
      <c r="E5" s="533"/>
      <c r="F5" s="533"/>
      <c r="G5" s="533"/>
      <c r="H5" s="532" t="s">
        <v>1050</v>
      </c>
      <c r="I5" s="531"/>
      <c r="J5" s="531"/>
      <c r="K5" s="530"/>
      <c r="L5" s="529" t="s">
        <v>1049</v>
      </c>
      <c r="M5" s="528"/>
      <c r="N5" s="528"/>
      <c r="O5" s="527"/>
    </row>
    <row r="6" spans="1:15" ht="42" thickBot="1" x14ac:dyDescent="0.3">
      <c r="A6" s="436"/>
      <c r="B6" s="435"/>
      <c r="C6" s="526"/>
      <c r="D6" s="525" t="s">
        <v>25</v>
      </c>
      <c r="E6" s="524" t="s">
        <v>42</v>
      </c>
      <c r="F6" s="523" t="s">
        <v>43</v>
      </c>
      <c r="G6" s="522" t="s">
        <v>725</v>
      </c>
      <c r="H6" s="525" t="s">
        <v>25</v>
      </c>
      <c r="I6" s="524" t="s">
        <v>42</v>
      </c>
      <c r="J6" s="523" t="s">
        <v>43</v>
      </c>
      <c r="K6" s="522" t="s">
        <v>725</v>
      </c>
      <c r="L6" s="525" t="s">
        <v>25</v>
      </c>
      <c r="M6" s="524" t="s">
        <v>42</v>
      </c>
      <c r="N6" s="523" t="s">
        <v>43</v>
      </c>
      <c r="O6" s="522" t="s">
        <v>725</v>
      </c>
    </row>
    <row r="7" spans="1:15" ht="13.8" x14ac:dyDescent="0.25">
      <c r="A7" s="519" t="s">
        <v>5</v>
      </c>
      <c r="B7" s="521" t="s">
        <v>6</v>
      </c>
      <c r="C7" s="520" t="s">
        <v>7</v>
      </c>
      <c r="D7" s="519"/>
      <c r="E7" s="518"/>
      <c r="F7" s="518"/>
      <c r="G7" s="517"/>
      <c r="H7" s="519"/>
      <c r="I7" s="518"/>
      <c r="J7" s="518"/>
      <c r="K7" s="517"/>
      <c r="L7" s="519"/>
      <c r="M7" s="518"/>
      <c r="N7" s="518"/>
      <c r="O7" s="517"/>
    </row>
    <row r="8" spans="1:15" ht="13.8" x14ac:dyDescent="0.25">
      <c r="A8" s="442"/>
      <c r="B8" s="489"/>
      <c r="C8" s="440"/>
      <c r="D8" s="516"/>
      <c r="E8" s="438"/>
      <c r="F8" s="438"/>
      <c r="G8" s="504"/>
      <c r="H8" s="516"/>
      <c r="I8" s="438"/>
      <c r="J8" s="438"/>
      <c r="K8" s="504"/>
      <c r="L8" s="516"/>
      <c r="M8" s="438"/>
      <c r="N8" s="438"/>
      <c r="O8" s="504"/>
    </row>
    <row r="9" spans="1:15" ht="13.8" x14ac:dyDescent="0.25">
      <c r="A9" s="491">
        <v>101</v>
      </c>
      <c r="B9" s="489"/>
      <c r="C9" s="476" t="s">
        <v>526</v>
      </c>
      <c r="D9" s="458"/>
      <c r="E9" s="457"/>
      <c r="F9" s="457"/>
      <c r="G9" s="512"/>
      <c r="H9" s="458"/>
      <c r="I9" s="457"/>
      <c r="J9" s="457"/>
      <c r="K9" s="512"/>
      <c r="L9" s="458"/>
      <c r="M9" s="457"/>
      <c r="N9" s="457"/>
      <c r="O9" s="512"/>
    </row>
    <row r="10" spans="1:15" ht="13.8" x14ac:dyDescent="0.25">
      <c r="A10" s="491"/>
      <c r="B10" s="489" t="s">
        <v>8</v>
      </c>
      <c r="C10" s="440" t="s">
        <v>89</v>
      </c>
      <c r="D10" s="439">
        <v>3000</v>
      </c>
      <c r="E10" s="438">
        <v>3000</v>
      </c>
      <c r="F10" s="438"/>
      <c r="G10" s="504"/>
      <c r="H10" s="439"/>
      <c r="I10" s="438"/>
      <c r="J10" s="438"/>
      <c r="K10" s="504"/>
      <c r="L10" s="439">
        <f>D10+H10</f>
        <v>3000</v>
      </c>
      <c r="M10" s="438">
        <f>E10+I10</f>
        <v>3000</v>
      </c>
      <c r="N10" s="438">
        <f>F10+J10</f>
        <v>0</v>
      </c>
      <c r="O10" s="504">
        <f>G10+K10</f>
        <v>0</v>
      </c>
    </row>
    <row r="11" spans="1:15" ht="13.8" x14ac:dyDescent="0.25">
      <c r="A11" s="491"/>
      <c r="B11" s="489" t="s">
        <v>16</v>
      </c>
      <c r="C11" s="101" t="s">
        <v>494</v>
      </c>
      <c r="D11" s="439"/>
      <c r="E11" s="438"/>
      <c r="F11" s="438"/>
      <c r="G11" s="504"/>
      <c r="H11" s="439"/>
      <c r="I11" s="438"/>
      <c r="J11" s="438"/>
      <c r="K11" s="504"/>
      <c r="L11" s="439"/>
      <c r="M11" s="438"/>
      <c r="N11" s="438"/>
      <c r="O11" s="504"/>
    </row>
    <row r="12" spans="1:15" ht="13.8" x14ac:dyDescent="0.25">
      <c r="A12" s="454"/>
      <c r="B12" s="453"/>
      <c r="C12" s="101" t="s">
        <v>584</v>
      </c>
      <c r="D12" s="452">
        <v>0</v>
      </c>
      <c r="E12" s="451">
        <v>0</v>
      </c>
      <c r="F12" s="451"/>
      <c r="G12" s="498"/>
      <c r="H12" s="452"/>
      <c r="I12" s="451"/>
      <c r="J12" s="451"/>
      <c r="K12" s="498"/>
      <c r="L12" s="452">
        <f>D12+H12</f>
        <v>0</v>
      </c>
      <c r="M12" s="451">
        <f>E12+I12</f>
        <v>0</v>
      </c>
      <c r="N12" s="451">
        <f>F12+J12</f>
        <v>0</v>
      </c>
      <c r="O12" s="498">
        <f>G12+K12</f>
        <v>0</v>
      </c>
    </row>
    <row r="13" spans="1:15" ht="13.8" x14ac:dyDescent="0.25">
      <c r="A13" s="454"/>
      <c r="B13" s="453"/>
      <c r="C13" s="101" t="s">
        <v>1048</v>
      </c>
      <c r="D13" s="452"/>
      <c r="E13" s="451"/>
      <c r="F13" s="451"/>
      <c r="G13" s="498"/>
      <c r="H13" s="452">
        <v>58</v>
      </c>
      <c r="I13" s="451">
        <v>58</v>
      </c>
      <c r="J13" s="451">
        <v>0</v>
      </c>
      <c r="K13" s="498">
        <v>0</v>
      </c>
      <c r="L13" s="452">
        <f>D13+H13</f>
        <v>58</v>
      </c>
      <c r="M13" s="451">
        <f>E13+I13</f>
        <v>58</v>
      </c>
      <c r="N13" s="451">
        <f>F13+J13</f>
        <v>0</v>
      </c>
      <c r="O13" s="498">
        <f>G13+K13</f>
        <v>0</v>
      </c>
    </row>
    <row r="14" spans="1:15" ht="13.8" x14ac:dyDescent="0.25">
      <c r="A14" s="442"/>
      <c r="B14" s="489"/>
      <c r="C14" s="459" t="s">
        <v>10</v>
      </c>
      <c r="D14" s="458">
        <f>D10+D12</f>
        <v>3000</v>
      </c>
      <c r="E14" s="457">
        <f>E10+E12</f>
        <v>3000</v>
      </c>
      <c r="F14" s="457">
        <f>F10+F12</f>
        <v>0</v>
      </c>
      <c r="G14" s="512">
        <f>G10+G12</f>
        <v>0</v>
      </c>
      <c r="H14" s="458">
        <f>H10+H12+H13</f>
        <v>58</v>
      </c>
      <c r="I14" s="457">
        <f>I10+I12+I13</f>
        <v>58</v>
      </c>
      <c r="J14" s="457">
        <f>J10+J12+J13</f>
        <v>0</v>
      </c>
      <c r="K14" s="512">
        <f>K10+K12+K13</f>
        <v>0</v>
      </c>
      <c r="L14" s="458">
        <f>D14+H14</f>
        <v>3058</v>
      </c>
      <c r="M14" s="457">
        <f>E14+I14</f>
        <v>3058</v>
      </c>
      <c r="N14" s="457">
        <f>F14+J14</f>
        <v>0</v>
      </c>
      <c r="O14" s="512">
        <f>G14+K14</f>
        <v>0</v>
      </c>
    </row>
    <row r="15" spans="1:15" ht="13.8" x14ac:dyDescent="0.25">
      <c r="A15" s="442"/>
      <c r="B15" s="489"/>
      <c r="C15" s="459"/>
      <c r="D15" s="458"/>
      <c r="E15" s="457"/>
      <c r="F15" s="457"/>
      <c r="G15" s="512"/>
      <c r="H15" s="458"/>
      <c r="I15" s="457"/>
      <c r="J15" s="457"/>
      <c r="K15" s="512"/>
      <c r="L15" s="458"/>
      <c r="M15" s="457"/>
      <c r="N15" s="457"/>
      <c r="O15" s="512"/>
    </row>
    <row r="16" spans="1:15" ht="13.8" x14ac:dyDescent="0.25">
      <c r="A16" s="491">
        <v>102</v>
      </c>
      <c r="B16" s="489"/>
      <c r="C16" s="515" t="s">
        <v>487</v>
      </c>
      <c r="D16" s="458"/>
      <c r="E16" s="457"/>
      <c r="F16" s="457"/>
      <c r="G16" s="512"/>
      <c r="H16" s="458"/>
      <c r="I16" s="457"/>
      <c r="J16" s="457"/>
      <c r="K16" s="512"/>
      <c r="L16" s="458"/>
      <c r="M16" s="457"/>
      <c r="N16" s="457"/>
      <c r="O16" s="512"/>
    </row>
    <row r="17" spans="1:15" ht="13.8" x14ac:dyDescent="0.25">
      <c r="A17" s="491"/>
      <c r="B17" s="489" t="s">
        <v>8</v>
      </c>
      <c r="C17" s="440" t="s">
        <v>527</v>
      </c>
      <c r="D17" s="439">
        <v>5060</v>
      </c>
      <c r="E17" s="438">
        <v>5060</v>
      </c>
      <c r="F17" s="438"/>
      <c r="G17" s="504"/>
      <c r="H17" s="439"/>
      <c r="I17" s="438"/>
      <c r="J17" s="438"/>
      <c r="K17" s="504"/>
      <c r="L17" s="439">
        <f>D17+H17</f>
        <v>5060</v>
      </c>
      <c r="M17" s="438">
        <f>E17+I17</f>
        <v>5060</v>
      </c>
      <c r="N17" s="438">
        <f>F17+J17</f>
        <v>0</v>
      </c>
      <c r="O17" s="504">
        <f>G17+K17</f>
        <v>0</v>
      </c>
    </row>
    <row r="18" spans="1:15" ht="13.8" x14ac:dyDescent="0.25">
      <c r="A18" s="491"/>
      <c r="B18" s="489" t="s">
        <v>16</v>
      </c>
      <c r="C18" s="101" t="s">
        <v>494</v>
      </c>
      <c r="D18" s="439"/>
      <c r="E18" s="438"/>
      <c r="F18" s="438"/>
      <c r="G18" s="504"/>
      <c r="H18" s="439"/>
      <c r="I18" s="438"/>
      <c r="J18" s="438"/>
      <c r="K18" s="504"/>
      <c r="L18" s="439"/>
      <c r="M18" s="438"/>
      <c r="N18" s="438"/>
      <c r="O18" s="504"/>
    </row>
    <row r="19" spans="1:15" ht="13.8" x14ac:dyDescent="0.25">
      <c r="A19" s="491"/>
      <c r="B19" s="489"/>
      <c r="C19" s="101" t="s">
        <v>584</v>
      </c>
      <c r="D19" s="439">
        <v>0</v>
      </c>
      <c r="E19" s="438">
        <v>0</v>
      </c>
      <c r="F19" s="438"/>
      <c r="G19" s="504"/>
      <c r="H19" s="439">
        <v>244</v>
      </c>
      <c r="I19" s="438">
        <v>244</v>
      </c>
      <c r="J19" s="438">
        <v>0</v>
      </c>
      <c r="K19" s="504">
        <v>0</v>
      </c>
      <c r="L19" s="439">
        <f>D19+H19</f>
        <v>244</v>
      </c>
      <c r="M19" s="438">
        <f>E19+I19</f>
        <v>244</v>
      </c>
      <c r="N19" s="438">
        <f>F19+J19</f>
        <v>0</v>
      </c>
      <c r="O19" s="504">
        <f>G19+K19</f>
        <v>0</v>
      </c>
    </row>
    <row r="20" spans="1:15" ht="13.8" x14ac:dyDescent="0.25">
      <c r="A20" s="491"/>
      <c r="B20" s="489"/>
      <c r="C20" s="101" t="s">
        <v>1048</v>
      </c>
      <c r="D20" s="439"/>
      <c r="E20" s="438"/>
      <c r="F20" s="438"/>
      <c r="G20" s="504"/>
      <c r="H20" s="439">
        <v>17</v>
      </c>
      <c r="I20" s="438">
        <v>17</v>
      </c>
      <c r="J20" s="438">
        <v>0</v>
      </c>
      <c r="K20" s="504">
        <v>0</v>
      </c>
      <c r="L20" s="439">
        <f>D20+H20</f>
        <v>17</v>
      </c>
      <c r="M20" s="438">
        <f>E20+I20</f>
        <v>17</v>
      </c>
      <c r="N20" s="438">
        <f>F20+J20</f>
        <v>0</v>
      </c>
      <c r="O20" s="504">
        <f>G20+K20</f>
        <v>0</v>
      </c>
    </row>
    <row r="21" spans="1:15" ht="13.8" x14ac:dyDescent="0.25">
      <c r="A21" s="442"/>
      <c r="B21" s="489"/>
      <c r="C21" s="459" t="s">
        <v>30</v>
      </c>
      <c r="D21" s="458">
        <f>D17+D19</f>
        <v>5060</v>
      </c>
      <c r="E21" s="457">
        <f>E17+E19</f>
        <v>5060</v>
      </c>
      <c r="F21" s="457">
        <f>F17+F19</f>
        <v>0</v>
      </c>
      <c r="G21" s="512">
        <f>G17+G19</f>
        <v>0</v>
      </c>
      <c r="H21" s="458">
        <f>H17+H19+H20</f>
        <v>261</v>
      </c>
      <c r="I21" s="457">
        <f>I17+I19+I20</f>
        <v>261</v>
      </c>
      <c r="J21" s="457">
        <f>J17+J19+J20</f>
        <v>0</v>
      </c>
      <c r="K21" s="512">
        <f>K17+K19+K20</f>
        <v>0</v>
      </c>
      <c r="L21" s="458">
        <f>D21+H21</f>
        <v>5321</v>
      </c>
      <c r="M21" s="457">
        <f>E21+I21</f>
        <v>5321</v>
      </c>
      <c r="N21" s="457">
        <f>F21+J21</f>
        <v>0</v>
      </c>
      <c r="O21" s="512">
        <f>G21+K21</f>
        <v>0</v>
      </c>
    </row>
    <row r="22" spans="1:15" ht="13.8" x14ac:dyDescent="0.25">
      <c r="A22" s="442"/>
      <c r="B22" s="489"/>
      <c r="C22" s="101"/>
      <c r="D22" s="458"/>
      <c r="E22" s="457"/>
      <c r="F22" s="457"/>
      <c r="G22" s="512"/>
      <c r="H22" s="458"/>
      <c r="I22" s="457"/>
      <c r="J22" s="457"/>
      <c r="K22" s="512"/>
      <c r="L22" s="458"/>
      <c r="M22" s="457"/>
      <c r="N22" s="457"/>
      <c r="O22" s="512"/>
    </row>
    <row r="23" spans="1:15" ht="13.8" x14ac:dyDescent="0.25">
      <c r="A23" s="491">
        <v>103</v>
      </c>
      <c r="B23" s="489"/>
      <c r="C23" s="459" t="s">
        <v>45</v>
      </c>
      <c r="D23" s="458"/>
      <c r="E23" s="457"/>
      <c r="F23" s="457"/>
      <c r="G23" s="512"/>
      <c r="H23" s="458"/>
      <c r="I23" s="457"/>
      <c r="J23" s="457"/>
      <c r="K23" s="512"/>
      <c r="L23" s="458"/>
      <c r="M23" s="457"/>
      <c r="N23" s="457"/>
      <c r="O23" s="512"/>
    </row>
    <row r="24" spans="1:15" ht="13.8" x14ac:dyDescent="0.25">
      <c r="A24" s="491"/>
      <c r="B24" s="489" t="s">
        <v>8</v>
      </c>
      <c r="C24" s="440" t="s">
        <v>89</v>
      </c>
      <c r="D24" s="439">
        <v>73175</v>
      </c>
      <c r="E24" s="438">
        <v>73175</v>
      </c>
      <c r="F24" s="438"/>
      <c r="G24" s="504"/>
      <c r="H24" s="439"/>
      <c r="I24" s="438"/>
      <c r="J24" s="438"/>
      <c r="K24" s="504"/>
      <c r="L24" s="439">
        <f>D24+H24</f>
        <v>73175</v>
      </c>
      <c r="M24" s="438">
        <f>E24+I24</f>
        <v>73175</v>
      </c>
      <c r="N24" s="438">
        <f>F24+J24</f>
        <v>0</v>
      </c>
      <c r="O24" s="504">
        <f>G24+K24</f>
        <v>0</v>
      </c>
    </row>
    <row r="25" spans="1:15" ht="13.8" x14ac:dyDescent="0.25">
      <c r="A25" s="491"/>
      <c r="B25" s="489" t="s">
        <v>9</v>
      </c>
      <c r="C25" s="440" t="s">
        <v>66</v>
      </c>
      <c r="D25" s="439"/>
      <c r="E25" s="438"/>
      <c r="F25" s="438"/>
      <c r="G25" s="504"/>
      <c r="H25" s="439"/>
      <c r="I25" s="438"/>
      <c r="J25" s="438"/>
      <c r="K25" s="504"/>
      <c r="L25" s="439">
        <f>D25+H25</f>
        <v>0</v>
      </c>
      <c r="M25" s="438">
        <f>E25+I25</f>
        <v>0</v>
      </c>
      <c r="N25" s="438">
        <f>F25+J25</f>
        <v>0</v>
      </c>
      <c r="O25" s="504">
        <f>G25+K25</f>
        <v>0</v>
      </c>
    </row>
    <row r="26" spans="1:15" ht="13.8" x14ac:dyDescent="0.25">
      <c r="A26" s="491"/>
      <c r="B26" s="489" t="s">
        <v>16</v>
      </c>
      <c r="C26" s="101" t="s">
        <v>494</v>
      </c>
      <c r="D26" s="439"/>
      <c r="E26" s="438"/>
      <c r="F26" s="438"/>
      <c r="G26" s="504"/>
      <c r="H26" s="439"/>
      <c r="I26" s="438"/>
      <c r="J26" s="438"/>
      <c r="K26" s="504"/>
      <c r="L26" s="439"/>
      <c r="M26" s="438"/>
      <c r="N26" s="438"/>
      <c r="O26" s="504"/>
    </row>
    <row r="27" spans="1:15" ht="13.8" x14ac:dyDescent="0.25">
      <c r="A27" s="491"/>
      <c r="B27" s="489"/>
      <c r="C27" s="101" t="s">
        <v>584</v>
      </c>
      <c r="D27" s="439">
        <v>0</v>
      </c>
      <c r="E27" s="438">
        <v>0</v>
      </c>
      <c r="F27" s="438"/>
      <c r="G27" s="504"/>
      <c r="H27" s="439"/>
      <c r="I27" s="438"/>
      <c r="J27" s="438"/>
      <c r="K27" s="504"/>
      <c r="L27" s="439">
        <f>D27+H27</f>
        <v>0</v>
      </c>
      <c r="M27" s="438">
        <f>E27+I27</f>
        <v>0</v>
      </c>
      <c r="N27" s="438">
        <f>F27+J27</f>
        <v>0</v>
      </c>
      <c r="O27" s="504">
        <f>G27+K27</f>
        <v>0</v>
      </c>
    </row>
    <row r="28" spans="1:15" ht="13.8" x14ac:dyDescent="0.25">
      <c r="A28" s="491"/>
      <c r="B28" s="489"/>
      <c r="C28" s="101" t="s">
        <v>1048</v>
      </c>
      <c r="D28" s="439"/>
      <c r="E28" s="438"/>
      <c r="F28" s="438"/>
      <c r="G28" s="504"/>
      <c r="H28" s="439">
        <v>45</v>
      </c>
      <c r="I28" s="438">
        <v>45</v>
      </c>
      <c r="J28" s="438">
        <v>0</v>
      </c>
      <c r="K28" s="504">
        <v>0</v>
      </c>
      <c r="L28" s="439">
        <f>D28+H28</f>
        <v>45</v>
      </c>
      <c r="M28" s="438">
        <f>E28+I28</f>
        <v>45</v>
      </c>
      <c r="N28" s="438">
        <f>F28+J28</f>
        <v>0</v>
      </c>
      <c r="O28" s="504">
        <f>G28+K28</f>
        <v>0</v>
      </c>
    </row>
    <row r="29" spans="1:15" ht="13.8" x14ac:dyDescent="0.25">
      <c r="A29" s="442"/>
      <c r="B29" s="489"/>
      <c r="C29" s="459" t="s">
        <v>18</v>
      </c>
      <c r="D29" s="458">
        <f>D24+D27</f>
        <v>73175</v>
      </c>
      <c r="E29" s="457">
        <f>E24+E27</f>
        <v>73175</v>
      </c>
      <c r="F29" s="457">
        <f>F24+F27</f>
        <v>0</v>
      </c>
      <c r="G29" s="512">
        <f>G24+G27</f>
        <v>0</v>
      </c>
      <c r="H29" s="458">
        <f>H24+H27+H28</f>
        <v>45</v>
      </c>
      <c r="I29" s="457">
        <f>I24+I27+I28</f>
        <v>45</v>
      </c>
      <c r="J29" s="457">
        <f>J24+J27+J28</f>
        <v>0</v>
      </c>
      <c r="K29" s="512">
        <f>K24+K27+K28</f>
        <v>0</v>
      </c>
      <c r="L29" s="458">
        <f>D29+H29</f>
        <v>73220</v>
      </c>
      <c r="M29" s="457">
        <f>E29+I29</f>
        <v>73220</v>
      </c>
      <c r="N29" s="457">
        <f>F29+J29</f>
        <v>0</v>
      </c>
      <c r="O29" s="512">
        <f>G29+K29</f>
        <v>0</v>
      </c>
    </row>
    <row r="30" spans="1:15" ht="13.8" x14ac:dyDescent="0.25">
      <c r="A30" s="442"/>
      <c r="B30" s="472"/>
      <c r="C30" s="440" t="s">
        <v>3</v>
      </c>
      <c r="D30" s="439"/>
      <c r="E30" s="438"/>
      <c r="F30" s="438"/>
      <c r="G30" s="504"/>
      <c r="H30" s="439"/>
      <c r="I30" s="438"/>
      <c r="J30" s="438"/>
      <c r="K30" s="504"/>
      <c r="L30" s="439"/>
      <c r="M30" s="438"/>
      <c r="N30" s="438"/>
      <c r="O30" s="504"/>
    </row>
    <row r="31" spans="1:15" ht="13.8" x14ac:dyDescent="0.25">
      <c r="A31" s="491">
        <v>104</v>
      </c>
      <c r="B31" s="489"/>
      <c r="C31" s="471" t="s">
        <v>589</v>
      </c>
      <c r="D31" s="458"/>
      <c r="E31" s="457"/>
      <c r="F31" s="457"/>
      <c r="G31" s="512"/>
      <c r="H31" s="458"/>
      <c r="I31" s="457"/>
      <c r="J31" s="457"/>
      <c r="K31" s="512"/>
      <c r="L31" s="458"/>
      <c r="M31" s="457"/>
      <c r="N31" s="457"/>
      <c r="O31" s="512"/>
    </row>
    <row r="32" spans="1:15" ht="13.8" x14ac:dyDescent="0.25">
      <c r="A32" s="442"/>
      <c r="B32" s="489" t="s">
        <v>8</v>
      </c>
      <c r="C32" s="440" t="s">
        <v>89</v>
      </c>
      <c r="D32" s="439">
        <v>20000</v>
      </c>
      <c r="E32" s="438">
        <v>20000</v>
      </c>
      <c r="F32" s="438"/>
      <c r="G32" s="504"/>
      <c r="H32" s="439"/>
      <c r="I32" s="438"/>
      <c r="J32" s="438"/>
      <c r="K32" s="504"/>
      <c r="L32" s="439">
        <f>D32+H32</f>
        <v>20000</v>
      </c>
      <c r="M32" s="438">
        <f>E32+I32</f>
        <v>20000</v>
      </c>
      <c r="N32" s="438">
        <f>F32+J32</f>
        <v>0</v>
      </c>
      <c r="O32" s="504">
        <f>G32+K32</f>
        <v>0</v>
      </c>
    </row>
    <row r="33" spans="1:15" ht="13.8" x14ac:dyDescent="0.25">
      <c r="A33" s="442"/>
      <c r="B33" s="489" t="s">
        <v>16</v>
      </c>
      <c r="C33" s="101" t="s">
        <v>494</v>
      </c>
      <c r="D33" s="439"/>
      <c r="E33" s="438"/>
      <c r="F33" s="438"/>
      <c r="G33" s="504"/>
      <c r="H33" s="439"/>
      <c r="I33" s="438"/>
      <c r="J33" s="438"/>
      <c r="K33" s="504"/>
      <c r="L33" s="439"/>
      <c r="M33" s="438"/>
      <c r="N33" s="438"/>
      <c r="O33" s="504"/>
    </row>
    <row r="34" spans="1:15" ht="13.8" x14ac:dyDescent="0.25">
      <c r="A34" s="442"/>
      <c r="B34" s="489"/>
      <c r="C34" s="101" t="s">
        <v>731</v>
      </c>
      <c r="D34" s="439">
        <v>13040</v>
      </c>
      <c r="E34" s="438">
        <v>13040</v>
      </c>
      <c r="F34" s="438"/>
      <c r="G34" s="504"/>
      <c r="H34" s="439"/>
      <c r="I34" s="438"/>
      <c r="J34" s="438"/>
      <c r="K34" s="504"/>
      <c r="L34" s="439">
        <f>D34+H34</f>
        <v>13040</v>
      </c>
      <c r="M34" s="438">
        <f>E34+I34</f>
        <v>13040</v>
      </c>
      <c r="N34" s="438">
        <f>F34+J34</f>
        <v>0</v>
      </c>
      <c r="O34" s="504">
        <f>G34+K34</f>
        <v>0</v>
      </c>
    </row>
    <row r="35" spans="1:15" ht="13.8" x14ac:dyDescent="0.25">
      <c r="A35" s="442"/>
      <c r="B35" s="489"/>
      <c r="C35" s="101" t="s">
        <v>1048</v>
      </c>
      <c r="D35" s="439"/>
      <c r="E35" s="438"/>
      <c r="F35" s="438"/>
      <c r="G35" s="504"/>
      <c r="H35" s="439">
        <v>16</v>
      </c>
      <c r="I35" s="438">
        <v>16</v>
      </c>
      <c r="J35" s="438">
        <v>0</v>
      </c>
      <c r="K35" s="504">
        <v>0</v>
      </c>
      <c r="L35" s="439">
        <f>D35+H35</f>
        <v>16</v>
      </c>
      <c r="M35" s="438">
        <f>E35+I35</f>
        <v>16</v>
      </c>
      <c r="N35" s="438">
        <f>F35+J35</f>
        <v>0</v>
      </c>
      <c r="O35" s="504">
        <f>G35+K35</f>
        <v>0</v>
      </c>
    </row>
    <row r="36" spans="1:15" ht="13.8" x14ac:dyDescent="0.25">
      <c r="A36" s="442"/>
      <c r="B36" s="489"/>
      <c r="C36" s="101" t="s">
        <v>1047</v>
      </c>
      <c r="D36" s="439"/>
      <c r="E36" s="438"/>
      <c r="F36" s="438"/>
      <c r="G36" s="504"/>
      <c r="H36" s="439">
        <v>318</v>
      </c>
      <c r="I36" s="438">
        <v>318</v>
      </c>
      <c r="J36" s="438">
        <v>0</v>
      </c>
      <c r="K36" s="504">
        <v>0</v>
      </c>
      <c r="L36" s="439">
        <f>D36+H36</f>
        <v>318</v>
      </c>
      <c r="M36" s="438">
        <f>E36+I36</f>
        <v>318</v>
      </c>
      <c r="N36" s="438">
        <f>F36+J36</f>
        <v>0</v>
      </c>
      <c r="O36" s="504">
        <f>G36+K36</f>
        <v>0</v>
      </c>
    </row>
    <row r="37" spans="1:15" ht="13.8" x14ac:dyDescent="0.25">
      <c r="A37" s="442"/>
      <c r="B37" s="489"/>
      <c r="C37" s="101" t="s">
        <v>1046</v>
      </c>
      <c r="D37" s="439"/>
      <c r="E37" s="438"/>
      <c r="F37" s="438"/>
      <c r="G37" s="504"/>
      <c r="H37" s="439">
        <v>882</v>
      </c>
      <c r="I37" s="438">
        <v>882</v>
      </c>
      <c r="J37" s="438">
        <v>0</v>
      </c>
      <c r="K37" s="504">
        <v>0</v>
      </c>
      <c r="L37" s="439">
        <f>D37+H37</f>
        <v>882</v>
      </c>
      <c r="M37" s="438">
        <f>E37+I37</f>
        <v>882</v>
      </c>
      <c r="N37" s="438">
        <f>F37+J37</f>
        <v>0</v>
      </c>
      <c r="O37" s="504">
        <f>G37+K37</f>
        <v>0</v>
      </c>
    </row>
    <row r="38" spans="1:15" ht="13.8" x14ac:dyDescent="0.25">
      <c r="A38" s="442"/>
      <c r="B38" s="489"/>
      <c r="C38" s="101" t="s">
        <v>1045</v>
      </c>
      <c r="D38" s="439"/>
      <c r="E38" s="438"/>
      <c r="F38" s="438"/>
      <c r="G38" s="504"/>
      <c r="H38" s="439">
        <v>350</v>
      </c>
      <c r="I38" s="438">
        <v>350</v>
      </c>
      <c r="J38" s="438">
        <v>0</v>
      </c>
      <c r="K38" s="504">
        <v>0</v>
      </c>
      <c r="L38" s="439">
        <f>D38+H38</f>
        <v>350</v>
      </c>
      <c r="M38" s="438">
        <f>E38+I38</f>
        <v>350</v>
      </c>
      <c r="N38" s="438">
        <f>F38+J38</f>
        <v>0</v>
      </c>
      <c r="O38" s="504">
        <f>G38+K38</f>
        <v>0</v>
      </c>
    </row>
    <row r="39" spans="1:15" ht="13.8" x14ac:dyDescent="0.25">
      <c r="A39" s="442"/>
      <c r="B39" s="489"/>
      <c r="C39" s="459" t="s">
        <v>11</v>
      </c>
      <c r="D39" s="458">
        <f>D32+D34</f>
        <v>33040</v>
      </c>
      <c r="E39" s="457">
        <f>E32+E34</f>
        <v>33040</v>
      </c>
      <c r="F39" s="457">
        <f>F32+F34</f>
        <v>0</v>
      </c>
      <c r="G39" s="512">
        <f>G32+G34</f>
        <v>0</v>
      </c>
      <c r="H39" s="458">
        <f>H32+H34+H35+H36+H37+H38</f>
        <v>1566</v>
      </c>
      <c r="I39" s="457">
        <f>I32+I34+I35+I36+I37+I38</f>
        <v>1566</v>
      </c>
      <c r="J39" s="457">
        <f>J32+J34+J35+J36+J37+J38</f>
        <v>0</v>
      </c>
      <c r="K39" s="512">
        <f>K32+K34+K35+K36+K37+K38</f>
        <v>0</v>
      </c>
      <c r="L39" s="458">
        <f>D39+H39</f>
        <v>34606</v>
      </c>
      <c r="M39" s="457">
        <f>E39+I39</f>
        <v>34606</v>
      </c>
      <c r="N39" s="457">
        <f>F39+J39</f>
        <v>0</v>
      </c>
      <c r="O39" s="512">
        <f>G39+K39</f>
        <v>0</v>
      </c>
    </row>
    <row r="40" spans="1:15" ht="13.8" x14ac:dyDescent="0.25">
      <c r="A40" s="442"/>
      <c r="B40" s="489"/>
      <c r="C40" s="440"/>
      <c r="D40" s="439"/>
      <c r="E40" s="438"/>
      <c r="F40" s="438"/>
      <c r="G40" s="504"/>
      <c r="H40" s="439"/>
      <c r="I40" s="438"/>
      <c r="J40" s="438"/>
      <c r="K40" s="504"/>
      <c r="L40" s="439"/>
      <c r="M40" s="438"/>
      <c r="N40" s="438"/>
      <c r="O40" s="504"/>
    </row>
    <row r="41" spans="1:15" ht="13.8" x14ac:dyDescent="0.25">
      <c r="A41" s="491"/>
      <c r="B41" s="472"/>
      <c r="C41" s="459" t="s">
        <v>553</v>
      </c>
      <c r="D41" s="458">
        <f>D14+D29+D39+D21</f>
        <v>114275</v>
      </c>
      <c r="E41" s="457">
        <f>E14+E29+E39+E21</f>
        <v>114275</v>
      </c>
      <c r="F41" s="457">
        <f>F14+F29+F39+F21</f>
        <v>0</v>
      </c>
      <c r="G41" s="512">
        <f>G14+G29+G39+G21</f>
        <v>0</v>
      </c>
      <c r="H41" s="458">
        <f>H14+H29+H39+H21</f>
        <v>1930</v>
      </c>
      <c r="I41" s="457">
        <f>I14+I29+I39+I21</f>
        <v>1930</v>
      </c>
      <c r="J41" s="457">
        <f>J14+J29+J39+J21</f>
        <v>0</v>
      </c>
      <c r="K41" s="512">
        <f>K14+K29+K39+K21</f>
        <v>0</v>
      </c>
      <c r="L41" s="458">
        <f>D41+H41</f>
        <v>116205</v>
      </c>
      <c r="M41" s="457">
        <f>E41+I41</f>
        <v>116205</v>
      </c>
      <c r="N41" s="457">
        <f>F41+J41</f>
        <v>0</v>
      </c>
      <c r="O41" s="512">
        <f>G41+K41</f>
        <v>0</v>
      </c>
    </row>
    <row r="42" spans="1:15" ht="13.8" x14ac:dyDescent="0.25">
      <c r="A42" s="442"/>
      <c r="B42" s="489"/>
      <c r="C42" s="440"/>
      <c r="D42" s="439"/>
      <c r="E42" s="438"/>
      <c r="F42" s="438"/>
      <c r="G42" s="504"/>
      <c r="H42" s="439"/>
      <c r="I42" s="438"/>
      <c r="J42" s="438"/>
      <c r="K42" s="504"/>
      <c r="L42" s="439"/>
      <c r="M42" s="438"/>
      <c r="N42" s="438"/>
      <c r="O42" s="504"/>
    </row>
    <row r="43" spans="1:15" ht="13.8" x14ac:dyDescent="0.25">
      <c r="A43" s="514">
        <v>105</v>
      </c>
      <c r="B43" s="513"/>
      <c r="C43" s="459" t="s">
        <v>46</v>
      </c>
      <c r="D43" s="458"/>
      <c r="E43" s="457"/>
      <c r="F43" s="457"/>
      <c r="G43" s="512"/>
      <c r="H43" s="458"/>
      <c r="I43" s="457"/>
      <c r="J43" s="457"/>
      <c r="K43" s="512"/>
      <c r="L43" s="458"/>
      <c r="M43" s="457"/>
      <c r="N43" s="457"/>
      <c r="O43" s="512"/>
    </row>
    <row r="44" spans="1:15" ht="13.8" x14ac:dyDescent="0.25">
      <c r="A44" s="491"/>
      <c r="B44" s="489" t="s">
        <v>8</v>
      </c>
      <c r="C44" s="440" t="s">
        <v>89</v>
      </c>
      <c r="D44" s="439"/>
      <c r="E44" s="438"/>
      <c r="F44" s="438"/>
      <c r="G44" s="504"/>
      <c r="H44" s="439"/>
      <c r="I44" s="438"/>
      <c r="J44" s="438"/>
      <c r="K44" s="504"/>
      <c r="L44" s="439"/>
      <c r="M44" s="438"/>
      <c r="N44" s="438"/>
      <c r="O44" s="504"/>
    </row>
    <row r="45" spans="1:15" ht="13.8" x14ac:dyDescent="0.25">
      <c r="A45" s="491"/>
      <c r="B45" s="489"/>
      <c r="C45" s="440" t="s">
        <v>90</v>
      </c>
      <c r="D45" s="439">
        <v>7000</v>
      </c>
      <c r="E45" s="438">
        <v>7000</v>
      </c>
      <c r="F45" s="438"/>
      <c r="G45" s="504"/>
      <c r="H45" s="439"/>
      <c r="I45" s="438"/>
      <c r="J45" s="438"/>
      <c r="K45" s="504"/>
      <c r="L45" s="439">
        <f>D45+H45</f>
        <v>7000</v>
      </c>
      <c r="M45" s="438">
        <f>E45+I45</f>
        <v>7000</v>
      </c>
      <c r="N45" s="438">
        <f>F45+J45</f>
        <v>0</v>
      </c>
      <c r="O45" s="504">
        <f>G45+K45</f>
        <v>0</v>
      </c>
    </row>
    <row r="46" spans="1:15" ht="13.8" x14ac:dyDescent="0.25">
      <c r="A46" s="491"/>
      <c r="B46" s="489"/>
      <c r="C46" s="440" t="s">
        <v>91</v>
      </c>
      <c r="D46" s="439">
        <v>0</v>
      </c>
      <c r="E46" s="438">
        <v>0</v>
      </c>
      <c r="F46" s="438"/>
      <c r="G46" s="504"/>
      <c r="H46" s="439"/>
      <c r="I46" s="438"/>
      <c r="J46" s="438"/>
      <c r="K46" s="504"/>
      <c r="L46" s="439">
        <f>D46+H46</f>
        <v>0</v>
      </c>
      <c r="M46" s="438">
        <f>E46+I46</f>
        <v>0</v>
      </c>
      <c r="N46" s="438">
        <f>F46+J46</f>
        <v>0</v>
      </c>
      <c r="O46" s="504">
        <f>G46+K46</f>
        <v>0</v>
      </c>
    </row>
    <row r="47" spans="1:15" ht="13.8" x14ac:dyDescent="0.25">
      <c r="A47" s="449"/>
      <c r="B47" s="492"/>
      <c r="C47" s="447" t="s">
        <v>26</v>
      </c>
      <c r="D47" s="446">
        <f>SUM(D45:D46)</f>
        <v>7000</v>
      </c>
      <c r="E47" s="445">
        <f>SUM(E45:E46)</f>
        <v>7000</v>
      </c>
      <c r="F47" s="445">
        <f>SUM(F45:F46)</f>
        <v>0</v>
      </c>
      <c r="G47" s="505">
        <f>SUM(G45:G46)</f>
        <v>0</v>
      </c>
      <c r="H47" s="446">
        <f>SUM(H45:H46)</f>
        <v>0</v>
      </c>
      <c r="I47" s="445">
        <f>SUM(I45:I46)</f>
        <v>0</v>
      </c>
      <c r="J47" s="445">
        <f>SUM(J45:J46)</f>
        <v>0</v>
      </c>
      <c r="K47" s="505">
        <f>SUM(K45:K46)</f>
        <v>0</v>
      </c>
      <c r="L47" s="446">
        <f>D47+H47</f>
        <v>7000</v>
      </c>
      <c r="M47" s="445">
        <f>E47+I47</f>
        <v>7000</v>
      </c>
      <c r="N47" s="445">
        <f>F47+J47</f>
        <v>0</v>
      </c>
      <c r="O47" s="505">
        <f>G47+K47</f>
        <v>0</v>
      </c>
    </row>
    <row r="48" spans="1:15" ht="13.8" x14ac:dyDescent="0.25">
      <c r="A48" s="449"/>
      <c r="B48" s="489" t="s">
        <v>16</v>
      </c>
      <c r="C48" s="101" t="s">
        <v>494</v>
      </c>
      <c r="D48" s="446"/>
      <c r="E48" s="445"/>
      <c r="F48" s="445"/>
      <c r="G48" s="505"/>
      <c r="H48" s="446"/>
      <c r="I48" s="445"/>
      <c r="J48" s="445"/>
      <c r="K48" s="505"/>
      <c r="L48" s="446"/>
      <c r="M48" s="445"/>
      <c r="N48" s="445"/>
      <c r="O48" s="505"/>
    </row>
    <row r="49" spans="1:15" ht="13.8" x14ac:dyDescent="0.25">
      <c r="A49" s="449"/>
      <c r="B49" s="489"/>
      <c r="C49" s="101" t="s">
        <v>1044</v>
      </c>
      <c r="D49" s="439"/>
      <c r="E49" s="438"/>
      <c r="F49" s="438"/>
      <c r="G49" s="504"/>
      <c r="H49" s="439">
        <v>17733</v>
      </c>
      <c r="I49" s="438">
        <v>17733</v>
      </c>
      <c r="J49" s="438">
        <v>0</v>
      </c>
      <c r="K49" s="504">
        <v>0</v>
      </c>
      <c r="L49" s="439">
        <f>D49+H49</f>
        <v>17733</v>
      </c>
      <c r="M49" s="438">
        <f>E49+I49</f>
        <v>17733</v>
      </c>
      <c r="N49" s="438">
        <f>F49+J49</f>
        <v>0</v>
      </c>
      <c r="O49" s="504">
        <f>G49+K49</f>
        <v>0</v>
      </c>
    </row>
    <row r="50" spans="1:15" ht="13.8" x14ac:dyDescent="0.25">
      <c r="A50" s="449"/>
      <c r="B50" s="489"/>
      <c r="C50" s="101" t="s">
        <v>1043</v>
      </c>
      <c r="D50" s="439"/>
      <c r="E50" s="438"/>
      <c r="F50" s="438"/>
      <c r="G50" s="504"/>
      <c r="H50" s="439">
        <v>17815</v>
      </c>
      <c r="I50" s="438">
        <v>17815</v>
      </c>
      <c r="J50" s="438">
        <v>0</v>
      </c>
      <c r="K50" s="504">
        <v>0</v>
      </c>
      <c r="L50" s="439">
        <f>D50+H50</f>
        <v>17815</v>
      </c>
      <c r="M50" s="438">
        <f>E50+I50</f>
        <v>17815</v>
      </c>
      <c r="N50" s="438">
        <f>F50+J50</f>
        <v>0</v>
      </c>
      <c r="O50" s="504">
        <f>G50+K50</f>
        <v>0</v>
      </c>
    </row>
    <row r="51" spans="1:15" ht="13.8" x14ac:dyDescent="0.25">
      <c r="A51" s="491"/>
      <c r="B51" s="489"/>
      <c r="C51" s="459" t="s">
        <v>579</v>
      </c>
      <c r="D51" s="458">
        <f>D47</f>
        <v>7000</v>
      </c>
      <c r="E51" s="457">
        <f>E47</f>
        <v>7000</v>
      </c>
      <c r="F51" s="457">
        <f>F47</f>
        <v>0</v>
      </c>
      <c r="G51" s="512">
        <f>G47</f>
        <v>0</v>
      </c>
      <c r="H51" s="458">
        <f>H47+H49+H50</f>
        <v>35548</v>
      </c>
      <c r="I51" s="457">
        <f>I47+I49+I50</f>
        <v>35548</v>
      </c>
      <c r="J51" s="457">
        <f>J47+J49+J50</f>
        <v>0</v>
      </c>
      <c r="K51" s="512">
        <f>K47+K49+K50</f>
        <v>0</v>
      </c>
      <c r="L51" s="458">
        <f>D51+H51</f>
        <v>42548</v>
      </c>
      <c r="M51" s="457">
        <f>E51+I51</f>
        <v>42548</v>
      </c>
      <c r="N51" s="457">
        <f>F51+J51</f>
        <v>0</v>
      </c>
      <c r="O51" s="512">
        <f>G51+K51</f>
        <v>0</v>
      </c>
    </row>
    <row r="52" spans="1:15" ht="13.8" x14ac:dyDescent="0.25">
      <c r="A52" s="442"/>
      <c r="B52" s="489"/>
      <c r="C52" s="440"/>
      <c r="D52" s="439"/>
      <c r="E52" s="438"/>
      <c r="F52" s="438"/>
      <c r="G52" s="504"/>
      <c r="H52" s="439"/>
      <c r="I52" s="438"/>
      <c r="J52" s="438"/>
      <c r="K52" s="504"/>
      <c r="L52" s="439"/>
      <c r="M52" s="438"/>
      <c r="N52" s="438"/>
      <c r="O52" s="504"/>
    </row>
    <row r="53" spans="1:15" ht="13.8" x14ac:dyDescent="0.25">
      <c r="A53" s="491">
        <v>106</v>
      </c>
      <c r="B53" s="472"/>
      <c r="C53" s="476" t="s">
        <v>31</v>
      </c>
      <c r="D53" s="475"/>
      <c r="E53" s="474"/>
      <c r="F53" s="474"/>
      <c r="G53" s="511"/>
      <c r="H53" s="475"/>
      <c r="I53" s="474"/>
      <c r="J53" s="474"/>
      <c r="K53" s="511"/>
      <c r="L53" s="475"/>
      <c r="M53" s="474"/>
      <c r="N53" s="474"/>
      <c r="O53" s="511"/>
    </row>
    <row r="54" spans="1:15" ht="13.8" x14ac:dyDescent="0.25">
      <c r="A54" s="442"/>
      <c r="B54" s="489" t="s">
        <v>8</v>
      </c>
      <c r="C54" s="440" t="s">
        <v>89</v>
      </c>
      <c r="D54" s="452"/>
      <c r="E54" s="451"/>
      <c r="F54" s="451"/>
      <c r="G54" s="498"/>
      <c r="H54" s="452"/>
      <c r="I54" s="451"/>
      <c r="J54" s="451"/>
      <c r="K54" s="498"/>
      <c r="L54" s="452"/>
      <c r="M54" s="451"/>
      <c r="N54" s="451"/>
      <c r="O54" s="498"/>
    </row>
    <row r="55" spans="1:15" ht="27.6" x14ac:dyDescent="0.25">
      <c r="A55" s="442"/>
      <c r="B55" s="489"/>
      <c r="C55" s="101" t="s">
        <v>591</v>
      </c>
      <c r="D55" s="452">
        <v>10000</v>
      </c>
      <c r="E55" s="451">
        <v>10000</v>
      </c>
      <c r="F55" s="451"/>
      <c r="G55" s="498"/>
      <c r="H55" s="452"/>
      <c r="I55" s="451"/>
      <c r="J55" s="451"/>
      <c r="K55" s="498"/>
      <c r="L55" s="452">
        <f>D55+H55</f>
        <v>10000</v>
      </c>
      <c r="M55" s="451">
        <f>E55+I55</f>
        <v>10000</v>
      </c>
      <c r="N55" s="451">
        <f>F55+J55</f>
        <v>0</v>
      </c>
      <c r="O55" s="498">
        <f>G55+K55</f>
        <v>0</v>
      </c>
    </row>
    <row r="56" spans="1:15" ht="27.6" x14ac:dyDescent="0.25">
      <c r="A56" s="454"/>
      <c r="B56" s="453"/>
      <c r="C56" s="101" t="s">
        <v>590</v>
      </c>
      <c r="D56" s="452">
        <v>380484</v>
      </c>
      <c r="E56" s="451">
        <v>380484</v>
      </c>
      <c r="F56" s="451"/>
      <c r="G56" s="498"/>
      <c r="H56" s="452">
        <v>-192316</v>
      </c>
      <c r="I56" s="451">
        <v>-192316</v>
      </c>
      <c r="J56" s="451">
        <v>0</v>
      </c>
      <c r="K56" s="498">
        <v>0</v>
      </c>
      <c r="L56" s="452">
        <f>D56+H56</f>
        <v>188168</v>
      </c>
      <c r="M56" s="451">
        <f>E56+I56</f>
        <v>188168</v>
      </c>
      <c r="N56" s="451">
        <f>F56+J56</f>
        <v>0</v>
      </c>
      <c r="O56" s="498">
        <f>G56+K56</f>
        <v>0</v>
      </c>
    </row>
    <row r="57" spans="1:15" ht="13.8" x14ac:dyDescent="0.25">
      <c r="A57" s="442"/>
      <c r="B57" s="492"/>
      <c r="C57" s="101" t="s">
        <v>632</v>
      </c>
      <c r="D57" s="452">
        <v>55000</v>
      </c>
      <c r="E57" s="451">
        <v>55000</v>
      </c>
      <c r="F57" s="451"/>
      <c r="G57" s="498"/>
      <c r="H57" s="452"/>
      <c r="I57" s="451"/>
      <c r="J57" s="451"/>
      <c r="K57" s="498"/>
      <c r="L57" s="452">
        <f>D57+H57</f>
        <v>55000</v>
      </c>
      <c r="M57" s="451">
        <f>E57+I57</f>
        <v>55000</v>
      </c>
      <c r="N57" s="451">
        <f>F57+J57</f>
        <v>0</v>
      </c>
      <c r="O57" s="498">
        <f>G57+K57</f>
        <v>0</v>
      </c>
    </row>
    <row r="58" spans="1:15" ht="13.8" x14ac:dyDescent="0.25">
      <c r="A58" s="442"/>
      <c r="B58" s="492"/>
      <c r="C58" s="510" t="s">
        <v>633</v>
      </c>
      <c r="D58" s="452">
        <v>5000</v>
      </c>
      <c r="E58" s="451">
        <v>5000</v>
      </c>
      <c r="F58" s="451"/>
      <c r="G58" s="498"/>
      <c r="H58" s="452"/>
      <c r="I58" s="451"/>
      <c r="J58" s="451"/>
      <c r="K58" s="498"/>
      <c r="L58" s="452">
        <f>D58+H58</f>
        <v>5000</v>
      </c>
      <c r="M58" s="451">
        <f>E58+I58</f>
        <v>5000</v>
      </c>
      <c r="N58" s="451">
        <f>F58+J58</f>
        <v>0</v>
      </c>
      <c r="O58" s="498">
        <f>G58+K58</f>
        <v>0</v>
      </c>
    </row>
    <row r="59" spans="1:15" ht="13.8" x14ac:dyDescent="0.25">
      <c r="A59" s="442"/>
      <c r="B59" s="492"/>
      <c r="C59" s="509" t="s">
        <v>634</v>
      </c>
      <c r="D59" s="452">
        <v>4000</v>
      </c>
      <c r="E59" s="451">
        <v>4000</v>
      </c>
      <c r="F59" s="451"/>
      <c r="G59" s="498"/>
      <c r="H59" s="452"/>
      <c r="I59" s="451"/>
      <c r="J59" s="451"/>
      <c r="K59" s="498"/>
      <c r="L59" s="452">
        <f>D59+H59</f>
        <v>4000</v>
      </c>
      <c r="M59" s="451">
        <f>E59+I59</f>
        <v>4000</v>
      </c>
      <c r="N59" s="451">
        <f>F59+J59</f>
        <v>0</v>
      </c>
      <c r="O59" s="498">
        <f>G59+K59</f>
        <v>0</v>
      </c>
    </row>
    <row r="60" spans="1:15" ht="13.8" x14ac:dyDescent="0.25">
      <c r="A60" s="442"/>
      <c r="B60" s="492"/>
      <c r="C60" s="509" t="s">
        <v>635</v>
      </c>
      <c r="D60" s="452">
        <v>29592</v>
      </c>
      <c r="E60" s="451">
        <v>29592</v>
      </c>
      <c r="F60" s="451"/>
      <c r="G60" s="498"/>
      <c r="H60" s="452"/>
      <c r="I60" s="451"/>
      <c r="J60" s="451"/>
      <c r="K60" s="498"/>
      <c r="L60" s="452">
        <f>D60+H60</f>
        <v>29592</v>
      </c>
      <c r="M60" s="451">
        <f>E60+I60</f>
        <v>29592</v>
      </c>
      <c r="N60" s="451">
        <f>F60+J60</f>
        <v>0</v>
      </c>
      <c r="O60" s="498">
        <f>G60+K60</f>
        <v>0</v>
      </c>
    </row>
    <row r="61" spans="1:15" ht="13.8" x14ac:dyDescent="0.25">
      <c r="A61" s="442"/>
      <c r="B61" s="492"/>
      <c r="C61" s="509" t="s">
        <v>636</v>
      </c>
      <c r="D61" s="452">
        <v>9000</v>
      </c>
      <c r="E61" s="451"/>
      <c r="F61" s="451">
        <v>9000</v>
      </c>
      <c r="G61" s="498"/>
      <c r="H61" s="452"/>
      <c r="I61" s="451"/>
      <c r="J61" s="451"/>
      <c r="K61" s="498"/>
      <c r="L61" s="452">
        <f>D61+H61</f>
        <v>9000</v>
      </c>
      <c r="M61" s="451">
        <f>E61+I61</f>
        <v>0</v>
      </c>
      <c r="N61" s="451">
        <f>F61+J61</f>
        <v>9000</v>
      </c>
      <c r="O61" s="498">
        <f>G61+K61</f>
        <v>0</v>
      </c>
    </row>
    <row r="62" spans="1:15" ht="13.8" x14ac:dyDescent="0.25">
      <c r="A62" s="454"/>
      <c r="B62" s="453"/>
      <c r="C62" s="101" t="s">
        <v>637</v>
      </c>
      <c r="D62" s="452">
        <v>1200</v>
      </c>
      <c r="E62" s="451"/>
      <c r="F62" s="451">
        <v>1200</v>
      </c>
      <c r="G62" s="498"/>
      <c r="H62" s="452"/>
      <c r="I62" s="451"/>
      <c r="J62" s="451"/>
      <c r="K62" s="498"/>
      <c r="L62" s="452">
        <f>D62+H62</f>
        <v>1200</v>
      </c>
      <c r="M62" s="451">
        <f>E62+I62</f>
        <v>0</v>
      </c>
      <c r="N62" s="451">
        <f>F62+J62</f>
        <v>1200</v>
      </c>
      <c r="O62" s="498">
        <f>G62+K62</f>
        <v>0</v>
      </c>
    </row>
    <row r="63" spans="1:15" ht="13.8" x14ac:dyDescent="0.25">
      <c r="A63" s="454"/>
      <c r="B63" s="453"/>
      <c r="C63" s="101" t="s">
        <v>716</v>
      </c>
      <c r="D63" s="452">
        <v>1000</v>
      </c>
      <c r="E63" s="451">
        <v>0</v>
      </c>
      <c r="F63" s="451">
        <v>1000</v>
      </c>
      <c r="G63" s="498"/>
      <c r="H63" s="452"/>
      <c r="I63" s="451"/>
      <c r="J63" s="451"/>
      <c r="K63" s="498"/>
      <c r="L63" s="452">
        <f>D63+H63</f>
        <v>1000</v>
      </c>
      <c r="M63" s="451">
        <f>E63+I63</f>
        <v>0</v>
      </c>
      <c r="N63" s="451">
        <f>F63+J63</f>
        <v>1000</v>
      </c>
      <c r="O63" s="498">
        <f>G63+K63</f>
        <v>0</v>
      </c>
    </row>
    <row r="64" spans="1:15" ht="13.8" x14ac:dyDescent="0.25">
      <c r="A64" s="442"/>
      <c r="B64" s="492"/>
      <c r="C64" s="509"/>
      <c r="D64" s="452"/>
      <c r="E64" s="451"/>
      <c r="F64" s="451"/>
      <c r="G64" s="498"/>
      <c r="H64" s="452"/>
      <c r="I64" s="451"/>
      <c r="J64" s="451"/>
      <c r="K64" s="498"/>
      <c r="L64" s="452"/>
      <c r="M64" s="451"/>
      <c r="N64" s="451"/>
      <c r="O64" s="498"/>
    </row>
    <row r="65" spans="1:15" ht="14.4" x14ac:dyDescent="0.3">
      <c r="A65" s="442"/>
      <c r="B65" s="489"/>
      <c r="C65" s="102" t="s">
        <v>34</v>
      </c>
      <c r="D65" s="479">
        <f>SUM(D55:D64)</f>
        <v>495276</v>
      </c>
      <c r="E65" s="478">
        <f>SUM(E55:E64)</f>
        <v>484076</v>
      </c>
      <c r="F65" s="478">
        <f>SUM(F55:F64)</f>
        <v>11200</v>
      </c>
      <c r="G65" s="500">
        <f>SUM(G55:G64)</f>
        <v>0</v>
      </c>
      <c r="H65" s="479">
        <f>SUM(H55:H64)</f>
        <v>-192316</v>
      </c>
      <c r="I65" s="478">
        <f>SUM(I55:I64)</f>
        <v>-192316</v>
      </c>
      <c r="J65" s="478">
        <f>SUM(J55:J64)</f>
        <v>0</v>
      </c>
      <c r="K65" s="500">
        <f>SUM(K55:K64)</f>
        <v>0</v>
      </c>
      <c r="L65" s="479">
        <f>D65+H65</f>
        <v>302960</v>
      </c>
      <c r="M65" s="478">
        <f>E65+I65</f>
        <v>291760</v>
      </c>
      <c r="N65" s="478">
        <f>F65+J65</f>
        <v>11200</v>
      </c>
      <c r="O65" s="500">
        <f>G65+K65</f>
        <v>0</v>
      </c>
    </row>
    <row r="66" spans="1:15" ht="13.8" x14ac:dyDescent="0.25">
      <c r="A66" s="442"/>
      <c r="B66" s="489"/>
      <c r="C66" s="101"/>
      <c r="D66" s="452"/>
      <c r="E66" s="451"/>
      <c r="F66" s="451"/>
      <c r="G66" s="498"/>
      <c r="H66" s="452"/>
      <c r="I66" s="451"/>
      <c r="J66" s="451"/>
      <c r="K66" s="498"/>
      <c r="L66" s="452"/>
      <c r="M66" s="451"/>
      <c r="N66" s="451"/>
      <c r="O66" s="498"/>
    </row>
    <row r="67" spans="1:15" ht="13.8" x14ac:dyDescent="0.25">
      <c r="A67" s="442"/>
      <c r="B67" s="489" t="s">
        <v>13</v>
      </c>
      <c r="C67" s="101" t="s">
        <v>59</v>
      </c>
      <c r="D67" s="452"/>
      <c r="E67" s="451"/>
      <c r="F67" s="451"/>
      <c r="G67" s="498"/>
      <c r="H67" s="452"/>
      <c r="I67" s="451"/>
      <c r="J67" s="451"/>
      <c r="K67" s="498"/>
      <c r="L67" s="452"/>
      <c r="M67" s="451"/>
      <c r="N67" s="451"/>
      <c r="O67" s="498"/>
    </row>
    <row r="68" spans="1:15" ht="13.8" x14ac:dyDescent="0.25">
      <c r="A68" s="442"/>
      <c r="B68" s="489"/>
      <c r="C68" s="101" t="s">
        <v>61</v>
      </c>
      <c r="D68" s="452"/>
      <c r="E68" s="451"/>
      <c r="F68" s="451"/>
      <c r="G68" s="498"/>
      <c r="H68" s="452"/>
      <c r="I68" s="451"/>
      <c r="J68" s="451"/>
      <c r="K68" s="498"/>
      <c r="L68" s="452"/>
      <c r="M68" s="451"/>
      <c r="N68" s="451"/>
      <c r="O68" s="498"/>
    </row>
    <row r="69" spans="1:15" ht="13.8" x14ac:dyDescent="0.25">
      <c r="A69" s="442"/>
      <c r="B69" s="489"/>
      <c r="C69" s="101" t="s">
        <v>69</v>
      </c>
      <c r="D69" s="452">
        <v>66000</v>
      </c>
      <c r="E69" s="451">
        <v>66000</v>
      </c>
      <c r="F69" s="451"/>
      <c r="G69" s="498"/>
      <c r="H69" s="452"/>
      <c r="I69" s="451"/>
      <c r="J69" s="451"/>
      <c r="K69" s="498"/>
      <c r="L69" s="452">
        <f>D69+H69</f>
        <v>66000</v>
      </c>
      <c r="M69" s="451">
        <f>E69+I69</f>
        <v>66000</v>
      </c>
      <c r="N69" s="451">
        <f>F69+J69</f>
        <v>0</v>
      </c>
      <c r="O69" s="498">
        <f>G69+K69</f>
        <v>0</v>
      </c>
    </row>
    <row r="70" spans="1:15" ht="13.8" x14ac:dyDescent="0.25">
      <c r="A70" s="442"/>
      <c r="B70" s="489"/>
      <c r="C70" s="101" t="s">
        <v>67</v>
      </c>
      <c r="D70" s="452">
        <v>134000</v>
      </c>
      <c r="E70" s="451">
        <v>134000</v>
      </c>
      <c r="F70" s="451"/>
      <c r="G70" s="498"/>
      <c r="H70" s="452"/>
      <c r="I70" s="451"/>
      <c r="J70" s="451"/>
      <c r="K70" s="498"/>
      <c r="L70" s="452">
        <f>D70+H70</f>
        <v>134000</v>
      </c>
      <c r="M70" s="451">
        <f>E70+I70</f>
        <v>134000</v>
      </c>
      <c r="N70" s="451">
        <f>F70+J70</f>
        <v>0</v>
      </c>
      <c r="O70" s="498">
        <f>G70+K70</f>
        <v>0</v>
      </c>
    </row>
    <row r="71" spans="1:15" ht="13.8" x14ac:dyDescent="0.25">
      <c r="A71" s="454"/>
      <c r="B71" s="453"/>
      <c r="C71" s="101" t="s">
        <v>68</v>
      </c>
      <c r="D71" s="452">
        <v>12000</v>
      </c>
      <c r="E71" s="451">
        <v>12000</v>
      </c>
      <c r="F71" s="451"/>
      <c r="G71" s="498"/>
      <c r="H71" s="452"/>
      <c r="I71" s="451"/>
      <c r="J71" s="451"/>
      <c r="K71" s="498"/>
      <c r="L71" s="452">
        <f>D71+H71</f>
        <v>12000</v>
      </c>
      <c r="M71" s="451">
        <f>E71+I71</f>
        <v>12000</v>
      </c>
      <c r="N71" s="451">
        <f>F71+J71</f>
        <v>0</v>
      </c>
      <c r="O71" s="498">
        <f>G71+K71</f>
        <v>0</v>
      </c>
    </row>
    <row r="72" spans="1:15" ht="13.8" x14ac:dyDescent="0.25">
      <c r="A72" s="454"/>
      <c r="B72" s="453"/>
      <c r="C72" s="101" t="s">
        <v>70</v>
      </c>
      <c r="D72" s="452">
        <v>589000</v>
      </c>
      <c r="E72" s="451">
        <v>589000</v>
      </c>
      <c r="F72" s="451"/>
      <c r="G72" s="498"/>
      <c r="H72" s="452"/>
      <c r="I72" s="451"/>
      <c r="J72" s="451"/>
      <c r="K72" s="498"/>
      <c r="L72" s="452">
        <f>D72+H72</f>
        <v>589000</v>
      </c>
      <c r="M72" s="451">
        <f>E72+I72</f>
        <v>589000</v>
      </c>
      <c r="N72" s="451">
        <f>F72+J72</f>
        <v>0</v>
      </c>
      <c r="O72" s="498">
        <f>G72+K72</f>
        <v>0</v>
      </c>
    </row>
    <row r="73" spans="1:15" ht="14.4" x14ac:dyDescent="0.3">
      <c r="A73" s="442"/>
      <c r="B73" s="489"/>
      <c r="C73" s="139" t="s">
        <v>26</v>
      </c>
      <c r="D73" s="479">
        <f>SUM(D69:D72)</f>
        <v>801000</v>
      </c>
      <c r="E73" s="478">
        <f>SUM(E69:E72)</f>
        <v>801000</v>
      </c>
      <c r="F73" s="478">
        <f>SUM(F69:F72)</f>
        <v>0</v>
      </c>
      <c r="G73" s="500">
        <f>SUM(G69:G72)</f>
        <v>0</v>
      </c>
      <c r="H73" s="479">
        <f>SUM(H69:H72)</f>
        <v>0</v>
      </c>
      <c r="I73" s="478">
        <f>SUM(I69:I72)</f>
        <v>0</v>
      </c>
      <c r="J73" s="478">
        <f>SUM(J69:J72)</f>
        <v>0</v>
      </c>
      <c r="K73" s="500">
        <f>SUM(K69:K72)</f>
        <v>0</v>
      </c>
      <c r="L73" s="479">
        <f>D73+H73</f>
        <v>801000</v>
      </c>
      <c r="M73" s="478">
        <f>E73+I73</f>
        <v>801000</v>
      </c>
      <c r="N73" s="478">
        <f>F73+J73</f>
        <v>0</v>
      </c>
      <c r="O73" s="500">
        <f>G73+K73</f>
        <v>0</v>
      </c>
    </row>
    <row r="74" spans="1:15" ht="13.8" x14ac:dyDescent="0.25">
      <c r="A74" s="442"/>
      <c r="B74" s="489"/>
      <c r="C74" s="139"/>
      <c r="D74" s="482"/>
      <c r="E74" s="481"/>
      <c r="F74" s="481"/>
      <c r="G74" s="506"/>
      <c r="H74" s="482"/>
      <c r="I74" s="481"/>
      <c r="J74" s="481"/>
      <c r="K74" s="506"/>
      <c r="L74" s="482"/>
      <c r="M74" s="481"/>
      <c r="N74" s="481"/>
      <c r="O74" s="506"/>
    </row>
    <row r="75" spans="1:15" ht="13.8" x14ac:dyDescent="0.25">
      <c r="A75" s="449"/>
      <c r="B75" s="492"/>
      <c r="C75" s="101" t="s">
        <v>638</v>
      </c>
      <c r="D75" s="452"/>
      <c r="E75" s="451"/>
      <c r="F75" s="451"/>
      <c r="G75" s="498"/>
      <c r="H75" s="452"/>
      <c r="I75" s="451"/>
      <c r="J75" s="451"/>
      <c r="K75" s="498"/>
      <c r="L75" s="452"/>
      <c r="M75" s="451"/>
      <c r="N75" s="451"/>
      <c r="O75" s="498"/>
    </row>
    <row r="76" spans="1:15" ht="13.8" x14ac:dyDescent="0.25">
      <c r="A76" s="454"/>
      <c r="B76" s="453"/>
      <c r="C76" s="101" t="s">
        <v>639</v>
      </c>
      <c r="D76" s="452">
        <v>4000</v>
      </c>
      <c r="E76" s="451">
        <v>4000</v>
      </c>
      <c r="F76" s="451"/>
      <c r="G76" s="498"/>
      <c r="H76" s="452"/>
      <c r="I76" s="451"/>
      <c r="J76" s="451"/>
      <c r="K76" s="498"/>
      <c r="L76" s="452">
        <f>D76+H76</f>
        <v>4000</v>
      </c>
      <c r="M76" s="451">
        <f>E76+I76</f>
        <v>4000</v>
      </c>
      <c r="N76" s="451">
        <f>F76+J76</f>
        <v>0</v>
      </c>
      <c r="O76" s="498">
        <f>G76+K76</f>
        <v>0</v>
      </c>
    </row>
    <row r="77" spans="1:15" ht="13.8" x14ac:dyDescent="0.25">
      <c r="A77" s="449"/>
      <c r="B77" s="492"/>
      <c r="C77" s="509" t="s">
        <v>640</v>
      </c>
      <c r="D77" s="452">
        <v>4000</v>
      </c>
      <c r="E77" s="451">
        <v>4000</v>
      </c>
      <c r="F77" s="451"/>
      <c r="G77" s="498"/>
      <c r="H77" s="452"/>
      <c r="I77" s="451"/>
      <c r="J77" s="451"/>
      <c r="K77" s="498"/>
      <c r="L77" s="452">
        <f>D77+H77</f>
        <v>4000</v>
      </c>
      <c r="M77" s="451">
        <f>E77+I77</f>
        <v>4000</v>
      </c>
      <c r="N77" s="451">
        <f>F77+J77</f>
        <v>0</v>
      </c>
      <c r="O77" s="498">
        <f>G77+K77</f>
        <v>0</v>
      </c>
    </row>
    <row r="78" spans="1:15" ht="14.4" x14ac:dyDescent="0.3">
      <c r="A78" s="494"/>
      <c r="B78" s="492"/>
      <c r="C78" s="139" t="s">
        <v>26</v>
      </c>
      <c r="D78" s="482">
        <f>SUM(D76:D77)</f>
        <v>8000</v>
      </c>
      <c r="E78" s="481">
        <f>SUM(E76:E77)</f>
        <v>8000</v>
      </c>
      <c r="F78" s="481">
        <f>SUM(F76:F77)</f>
        <v>0</v>
      </c>
      <c r="G78" s="506">
        <f>SUM(G76:G77)</f>
        <v>0</v>
      </c>
      <c r="H78" s="482">
        <f>SUM(H76:H77)</f>
        <v>0</v>
      </c>
      <c r="I78" s="481">
        <f>SUM(I76:I77)</f>
        <v>0</v>
      </c>
      <c r="J78" s="481">
        <f>SUM(J76:J77)</f>
        <v>0</v>
      </c>
      <c r="K78" s="506">
        <f>SUM(K76:K77)</f>
        <v>0</v>
      </c>
      <c r="L78" s="482">
        <f>D78+H78</f>
        <v>8000</v>
      </c>
      <c r="M78" s="481">
        <f>E78+I78</f>
        <v>8000</v>
      </c>
      <c r="N78" s="481">
        <f>F78+J78</f>
        <v>0</v>
      </c>
      <c r="O78" s="506">
        <f>G78+K78</f>
        <v>0</v>
      </c>
    </row>
    <row r="79" spans="1:15" ht="14.4" x14ac:dyDescent="0.3">
      <c r="A79" s="494"/>
      <c r="B79" s="492"/>
      <c r="C79" s="139"/>
      <c r="D79" s="482"/>
      <c r="E79" s="481"/>
      <c r="F79" s="481"/>
      <c r="G79" s="506"/>
      <c r="H79" s="482"/>
      <c r="I79" s="481"/>
      <c r="J79" s="481"/>
      <c r="K79" s="506"/>
      <c r="L79" s="482"/>
      <c r="M79" s="481"/>
      <c r="N79" s="481"/>
      <c r="O79" s="506"/>
    </row>
    <row r="80" spans="1:15" ht="14.4" x14ac:dyDescent="0.3">
      <c r="A80" s="442"/>
      <c r="B80" s="489"/>
      <c r="C80" s="102" t="s">
        <v>35</v>
      </c>
      <c r="D80" s="479">
        <f>D73+D78</f>
        <v>809000</v>
      </c>
      <c r="E80" s="478">
        <f>E73+E78</f>
        <v>809000</v>
      </c>
      <c r="F80" s="478">
        <f>F73+F78</f>
        <v>0</v>
      </c>
      <c r="G80" s="500">
        <f>G73+G78</f>
        <v>0</v>
      </c>
      <c r="H80" s="479">
        <f>H73+H78</f>
        <v>0</v>
      </c>
      <c r="I80" s="478">
        <f>I73+I78</f>
        <v>0</v>
      </c>
      <c r="J80" s="478">
        <f>J73+J78</f>
        <v>0</v>
      </c>
      <c r="K80" s="500">
        <f>K73+K78</f>
        <v>0</v>
      </c>
      <c r="L80" s="479">
        <f>D80+H80</f>
        <v>809000</v>
      </c>
      <c r="M80" s="478">
        <f>E80+I80</f>
        <v>809000</v>
      </c>
      <c r="N80" s="478">
        <f>F80+J80</f>
        <v>0</v>
      </c>
      <c r="O80" s="500">
        <f>G80+K80</f>
        <v>0</v>
      </c>
    </row>
    <row r="81" spans="1:15" x14ac:dyDescent="0.3">
      <c r="A81" s="442"/>
      <c r="B81" s="486"/>
      <c r="C81" s="101"/>
      <c r="D81" s="452"/>
      <c r="E81" s="451"/>
      <c r="F81" s="451"/>
      <c r="G81" s="498"/>
      <c r="H81" s="452"/>
      <c r="I81" s="451"/>
      <c r="J81" s="451"/>
      <c r="K81" s="498"/>
      <c r="L81" s="452"/>
      <c r="M81" s="451"/>
      <c r="N81" s="451"/>
      <c r="O81" s="498"/>
    </row>
    <row r="82" spans="1:15" ht="13.8" x14ac:dyDescent="0.25">
      <c r="A82" s="442"/>
      <c r="B82" s="489" t="s">
        <v>14</v>
      </c>
      <c r="C82" s="101" t="s">
        <v>28</v>
      </c>
      <c r="D82" s="452"/>
      <c r="E82" s="451"/>
      <c r="F82" s="451"/>
      <c r="G82" s="498"/>
      <c r="H82" s="452"/>
      <c r="I82" s="451"/>
      <c r="J82" s="451"/>
      <c r="K82" s="498"/>
      <c r="L82" s="452"/>
      <c r="M82" s="451"/>
      <c r="N82" s="451"/>
      <c r="O82" s="498"/>
    </row>
    <row r="83" spans="1:15" ht="27.6" x14ac:dyDescent="0.25">
      <c r="A83" s="442"/>
      <c r="B83" s="489"/>
      <c r="C83" s="101" t="s">
        <v>33</v>
      </c>
      <c r="D83" s="439"/>
      <c r="E83" s="438"/>
      <c r="F83" s="438"/>
      <c r="G83" s="504"/>
      <c r="H83" s="439"/>
      <c r="I83" s="438"/>
      <c r="J83" s="438"/>
      <c r="K83" s="504"/>
      <c r="L83" s="439"/>
      <c r="M83" s="438"/>
      <c r="N83" s="438"/>
      <c r="O83" s="504"/>
    </row>
    <row r="84" spans="1:15" ht="13.8" x14ac:dyDescent="0.25">
      <c r="A84" s="442"/>
      <c r="B84" s="489"/>
      <c r="C84" s="101" t="s">
        <v>145</v>
      </c>
      <c r="D84" s="439">
        <v>458801</v>
      </c>
      <c r="E84" s="438">
        <v>458801</v>
      </c>
      <c r="F84" s="438"/>
      <c r="G84" s="504"/>
      <c r="H84" s="439"/>
      <c r="I84" s="438"/>
      <c r="J84" s="438"/>
      <c r="K84" s="504"/>
      <c r="L84" s="439">
        <f>D84+H84</f>
        <v>458801</v>
      </c>
      <c r="M84" s="438">
        <f>E84+I84</f>
        <v>458801</v>
      </c>
      <c r="N84" s="438">
        <f>F84+J84</f>
        <v>0</v>
      </c>
      <c r="O84" s="504">
        <f>G84+K84</f>
        <v>0</v>
      </c>
    </row>
    <row r="85" spans="1:15" ht="13.8" x14ac:dyDescent="0.25">
      <c r="A85" s="454"/>
      <c r="B85" s="453"/>
      <c r="C85" s="101" t="s">
        <v>146</v>
      </c>
      <c r="D85" s="439">
        <v>332166</v>
      </c>
      <c r="E85" s="438">
        <v>332166</v>
      </c>
      <c r="F85" s="451"/>
      <c r="G85" s="498"/>
      <c r="H85" s="439"/>
      <c r="I85" s="438"/>
      <c r="J85" s="451"/>
      <c r="K85" s="498"/>
      <c r="L85" s="439">
        <f>D85+H85</f>
        <v>332166</v>
      </c>
      <c r="M85" s="438">
        <f>E85+I85</f>
        <v>332166</v>
      </c>
      <c r="N85" s="451">
        <f>F85+J85</f>
        <v>0</v>
      </c>
      <c r="O85" s="498">
        <f>G85+K85</f>
        <v>0</v>
      </c>
    </row>
    <row r="86" spans="1:15" ht="27.6" x14ac:dyDescent="0.25">
      <c r="A86" s="454"/>
      <c r="B86" s="453"/>
      <c r="C86" s="101" t="s">
        <v>147</v>
      </c>
      <c r="D86" s="439">
        <f>SUM(E86:G86)</f>
        <v>795446</v>
      </c>
      <c r="E86" s="438">
        <v>649774</v>
      </c>
      <c r="F86" s="438">
        <v>125972</v>
      </c>
      <c r="G86" s="498">
        <v>19700</v>
      </c>
      <c r="H86" s="439"/>
      <c r="I86" s="438"/>
      <c r="J86" s="438"/>
      <c r="K86" s="498"/>
      <c r="L86" s="439">
        <f>D86+H86</f>
        <v>795446</v>
      </c>
      <c r="M86" s="438">
        <f>E86+I86</f>
        <v>649774</v>
      </c>
      <c r="N86" s="438">
        <f>F86+J86</f>
        <v>125972</v>
      </c>
      <c r="O86" s="498">
        <f>G86+K86</f>
        <v>19700</v>
      </c>
    </row>
    <row r="87" spans="1:15" ht="13.8" x14ac:dyDescent="0.25">
      <c r="A87" s="454"/>
      <c r="B87" s="453"/>
      <c r="C87" s="101" t="s">
        <v>1042</v>
      </c>
      <c r="D87" s="439"/>
      <c r="E87" s="438"/>
      <c r="F87" s="438"/>
      <c r="G87" s="498"/>
      <c r="H87" s="439">
        <v>35424</v>
      </c>
      <c r="I87" s="438">
        <v>35424</v>
      </c>
      <c r="J87" s="438">
        <v>0</v>
      </c>
      <c r="K87" s="498">
        <v>0</v>
      </c>
      <c r="L87" s="439">
        <f>D87+H87</f>
        <v>35424</v>
      </c>
      <c r="M87" s="438">
        <f>E87+I87</f>
        <v>35424</v>
      </c>
      <c r="N87" s="438">
        <f>F87+J87</f>
        <v>0</v>
      </c>
      <c r="O87" s="498">
        <f>G87+K87</f>
        <v>0</v>
      </c>
    </row>
    <row r="88" spans="1:15" ht="13.8" x14ac:dyDescent="0.25">
      <c r="A88" s="454"/>
      <c r="B88" s="453"/>
      <c r="C88" s="101" t="s">
        <v>1041</v>
      </c>
      <c r="D88" s="439"/>
      <c r="E88" s="438"/>
      <c r="F88" s="438"/>
      <c r="G88" s="498"/>
      <c r="H88" s="439">
        <v>1641</v>
      </c>
      <c r="I88" s="438">
        <v>1641</v>
      </c>
      <c r="J88" s="438">
        <v>0</v>
      </c>
      <c r="K88" s="498">
        <v>0</v>
      </c>
      <c r="L88" s="439">
        <f>D88+H88</f>
        <v>1641</v>
      </c>
      <c r="M88" s="438">
        <f>E88+I88</f>
        <v>1641</v>
      </c>
      <c r="N88" s="438">
        <f>F88+J88</f>
        <v>0</v>
      </c>
      <c r="O88" s="498">
        <f>G88+K88</f>
        <v>0</v>
      </c>
    </row>
    <row r="89" spans="1:15" ht="13.8" x14ac:dyDescent="0.25">
      <c r="A89" s="454"/>
      <c r="B89" s="453"/>
      <c r="C89" s="101" t="s">
        <v>148</v>
      </c>
      <c r="D89" s="439">
        <v>40443</v>
      </c>
      <c r="E89" s="438">
        <v>40443</v>
      </c>
      <c r="F89" s="451"/>
      <c r="G89" s="498"/>
      <c r="H89" s="439"/>
      <c r="I89" s="438"/>
      <c r="J89" s="451"/>
      <c r="K89" s="498"/>
      <c r="L89" s="439">
        <f>D89+H89</f>
        <v>40443</v>
      </c>
      <c r="M89" s="438">
        <f>E89+I89</f>
        <v>40443</v>
      </c>
      <c r="N89" s="451">
        <f>F89+J89</f>
        <v>0</v>
      </c>
      <c r="O89" s="498">
        <f>G89+K89</f>
        <v>0</v>
      </c>
    </row>
    <row r="90" spans="1:15" ht="13.8" x14ac:dyDescent="0.25">
      <c r="A90" s="454"/>
      <c r="B90" s="453"/>
      <c r="C90" s="101"/>
      <c r="D90" s="452"/>
      <c r="E90" s="451"/>
      <c r="F90" s="451"/>
      <c r="G90" s="498"/>
      <c r="H90" s="452"/>
      <c r="I90" s="451"/>
      <c r="J90" s="451"/>
      <c r="K90" s="498"/>
      <c r="L90" s="452"/>
      <c r="M90" s="451"/>
      <c r="N90" s="451"/>
      <c r="O90" s="498"/>
    </row>
    <row r="91" spans="1:15" ht="13.8" x14ac:dyDescent="0.25">
      <c r="A91" s="442"/>
      <c r="B91" s="489"/>
      <c r="C91" s="139" t="s">
        <v>26</v>
      </c>
      <c r="D91" s="446">
        <f>SUM(D83:D89)</f>
        <v>1626856</v>
      </c>
      <c r="E91" s="445">
        <f>SUM(E83:E89)</f>
        <v>1481184</v>
      </c>
      <c r="F91" s="445">
        <f>SUM(F83:F89)</f>
        <v>125972</v>
      </c>
      <c r="G91" s="505">
        <f>SUM(G83:G89)</f>
        <v>19700</v>
      </c>
      <c r="H91" s="446">
        <f>SUM(H83:H89)</f>
        <v>37065</v>
      </c>
      <c r="I91" s="445">
        <f>SUM(I83:I89)</f>
        <v>37065</v>
      </c>
      <c r="J91" s="445">
        <f>SUM(J83:J89)</f>
        <v>0</v>
      </c>
      <c r="K91" s="505">
        <f>SUM(K83:K89)</f>
        <v>0</v>
      </c>
      <c r="L91" s="446">
        <f>D91+H91</f>
        <v>1663921</v>
      </c>
      <c r="M91" s="445">
        <f>E91+I91</f>
        <v>1518249</v>
      </c>
      <c r="N91" s="445">
        <f>F91+J91</f>
        <v>125972</v>
      </c>
      <c r="O91" s="505">
        <f>G91+K91</f>
        <v>19700</v>
      </c>
    </row>
    <row r="92" spans="1:15" ht="13.8" x14ac:dyDescent="0.25">
      <c r="A92" s="442"/>
      <c r="B92" s="489"/>
      <c r="C92" s="139"/>
      <c r="D92" s="446"/>
      <c r="E92" s="445"/>
      <c r="F92" s="445"/>
      <c r="G92" s="505"/>
      <c r="H92" s="446"/>
      <c r="I92" s="445"/>
      <c r="J92" s="445"/>
      <c r="K92" s="505"/>
      <c r="L92" s="446"/>
      <c r="M92" s="445"/>
      <c r="N92" s="445"/>
      <c r="O92" s="505"/>
    </row>
    <row r="93" spans="1:15" ht="13.8" x14ac:dyDescent="0.25">
      <c r="A93" s="442"/>
      <c r="B93" s="489"/>
      <c r="C93" s="440" t="s">
        <v>583</v>
      </c>
      <c r="D93" s="439"/>
      <c r="E93" s="438"/>
      <c r="F93" s="438"/>
      <c r="G93" s="504"/>
      <c r="H93" s="439"/>
      <c r="I93" s="438"/>
      <c r="J93" s="438"/>
      <c r="K93" s="504"/>
      <c r="L93" s="439"/>
      <c r="M93" s="438"/>
      <c r="N93" s="438"/>
      <c r="O93" s="504"/>
    </row>
    <row r="94" spans="1:15" ht="13.8" x14ac:dyDescent="0.25">
      <c r="A94" s="454"/>
      <c r="B94" s="453"/>
      <c r="C94" s="101" t="s">
        <v>732</v>
      </c>
      <c r="D94" s="452">
        <v>132499</v>
      </c>
      <c r="E94" s="451">
        <v>132499</v>
      </c>
      <c r="F94" s="451"/>
      <c r="G94" s="498"/>
      <c r="H94" s="452"/>
      <c r="I94" s="451"/>
      <c r="J94" s="451"/>
      <c r="K94" s="498"/>
      <c r="L94" s="452">
        <f>D94+H94</f>
        <v>132499</v>
      </c>
      <c r="M94" s="451">
        <f>E94+I94</f>
        <v>132499</v>
      </c>
      <c r="N94" s="451">
        <f>F94+J94</f>
        <v>0</v>
      </c>
      <c r="O94" s="498">
        <f>G94+K94</f>
        <v>0</v>
      </c>
    </row>
    <row r="95" spans="1:15" ht="13.8" x14ac:dyDescent="0.25">
      <c r="A95" s="454"/>
      <c r="B95" s="453"/>
      <c r="C95" s="101"/>
      <c r="D95" s="452"/>
      <c r="E95" s="451"/>
      <c r="F95" s="451"/>
      <c r="G95" s="498"/>
      <c r="H95" s="452"/>
      <c r="I95" s="451"/>
      <c r="J95" s="451"/>
      <c r="K95" s="498"/>
      <c r="L95" s="452"/>
      <c r="M95" s="451"/>
      <c r="N95" s="451"/>
      <c r="O95" s="498"/>
    </row>
    <row r="96" spans="1:15" ht="13.8" x14ac:dyDescent="0.25">
      <c r="A96" s="508"/>
      <c r="B96" s="507"/>
      <c r="C96" s="139" t="s">
        <v>26</v>
      </c>
      <c r="D96" s="482">
        <f>SUM(D94:D94)</f>
        <v>132499</v>
      </c>
      <c r="E96" s="481">
        <f>SUM(E94:E94)</f>
        <v>132499</v>
      </c>
      <c r="F96" s="481">
        <f>SUM(F94:F94)</f>
        <v>0</v>
      </c>
      <c r="G96" s="506">
        <f>SUM(G94:G94)</f>
        <v>0</v>
      </c>
      <c r="H96" s="482">
        <f>SUM(H94:H94)</f>
        <v>0</v>
      </c>
      <c r="I96" s="481">
        <f>SUM(I94:I94)</f>
        <v>0</v>
      </c>
      <c r="J96" s="481">
        <f>SUM(J94:J94)</f>
        <v>0</v>
      </c>
      <c r="K96" s="506">
        <f>SUM(K94:K94)</f>
        <v>0</v>
      </c>
      <c r="L96" s="482">
        <f>D96+H96</f>
        <v>132499</v>
      </c>
      <c r="M96" s="481">
        <f>E96+I96</f>
        <v>132499</v>
      </c>
      <c r="N96" s="481">
        <f>F96+J96</f>
        <v>0</v>
      </c>
      <c r="O96" s="506">
        <f>G96+K96</f>
        <v>0</v>
      </c>
    </row>
    <row r="97" spans="1:15" ht="13.8" x14ac:dyDescent="0.25">
      <c r="A97" s="508"/>
      <c r="B97" s="507"/>
      <c r="C97" s="139"/>
      <c r="D97" s="482"/>
      <c r="E97" s="481"/>
      <c r="F97" s="481"/>
      <c r="G97" s="506"/>
      <c r="H97" s="482"/>
      <c r="I97" s="481"/>
      <c r="J97" s="481"/>
      <c r="K97" s="506"/>
      <c r="L97" s="482"/>
      <c r="M97" s="481"/>
      <c r="N97" s="481"/>
      <c r="O97" s="506"/>
    </row>
    <row r="98" spans="1:15" ht="13.8" x14ac:dyDescent="0.25">
      <c r="A98" s="454"/>
      <c r="B98" s="453"/>
      <c r="C98" s="101" t="s">
        <v>721</v>
      </c>
      <c r="D98" s="452"/>
      <c r="E98" s="451"/>
      <c r="F98" s="451"/>
      <c r="G98" s="498"/>
      <c r="H98" s="452"/>
      <c r="I98" s="451"/>
      <c r="J98" s="451"/>
      <c r="K98" s="498"/>
      <c r="L98" s="452"/>
      <c r="M98" s="451"/>
      <c r="N98" s="451"/>
      <c r="O98" s="498"/>
    </row>
    <row r="99" spans="1:15" ht="13.8" x14ac:dyDescent="0.25">
      <c r="A99" s="454"/>
      <c r="B99" s="453"/>
      <c r="C99" s="101" t="s">
        <v>1040</v>
      </c>
      <c r="D99" s="452"/>
      <c r="E99" s="451"/>
      <c r="F99" s="451"/>
      <c r="G99" s="498"/>
      <c r="H99" s="452">
        <v>40000</v>
      </c>
      <c r="I99" s="451">
        <v>40000</v>
      </c>
      <c r="J99" s="451">
        <v>0</v>
      </c>
      <c r="K99" s="498">
        <v>0</v>
      </c>
      <c r="L99" s="452">
        <f>D99+H99</f>
        <v>40000</v>
      </c>
      <c r="M99" s="451">
        <f>E99+I99</f>
        <v>40000</v>
      </c>
      <c r="N99" s="451">
        <f>F99+J99</f>
        <v>0</v>
      </c>
      <c r="O99" s="498">
        <f>G99+K99</f>
        <v>0</v>
      </c>
    </row>
    <row r="100" spans="1:15" ht="13.8" x14ac:dyDescent="0.25">
      <c r="A100" s="454"/>
      <c r="B100" s="453"/>
      <c r="C100" s="101"/>
      <c r="D100" s="452"/>
      <c r="E100" s="451"/>
      <c r="F100" s="451"/>
      <c r="G100" s="498"/>
      <c r="H100" s="452"/>
      <c r="I100" s="451"/>
      <c r="J100" s="451"/>
      <c r="K100" s="498"/>
      <c r="L100" s="452"/>
      <c r="M100" s="451"/>
      <c r="N100" s="451"/>
      <c r="O100" s="498"/>
    </row>
    <row r="101" spans="1:15" ht="13.8" x14ac:dyDescent="0.25">
      <c r="A101" s="442"/>
      <c r="B101" s="489"/>
      <c r="C101" s="139" t="s">
        <v>26</v>
      </c>
      <c r="D101" s="446">
        <f>SUM(D100:D100)</f>
        <v>0</v>
      </c>
      <c r="E101" s="445">
        <f>SUM(E100:E100)</f>
        <v>0</v>
      </c>
      <c r="F101" s="445">
        <f>SUM(F100:F100)</f>
        <v>0</v>
      </c>
      <c r="G101" s="505">
        <f>SUM(G100:G100)</f>
        <v>0</v>
      </c>
      <c r="H101" s="446">
        <f>SUM(H99:H100)</f>
        <v>40000</v>
      </c>
      <c r="I101" s="445">
        <f>SUM(I99:I100)</f>
        <v>40000</v>
      </c>
      <c r="J101" s="445">
        <f>SUM(J99:J100)</f>
        <v>0</v>
      </c>
      <c r="K101" s="505">
        <f>SUM(K99:K100)</f>
        <v>0</v>
      </c>
      <c r="L101" s="446">
        <f>D101+H101</f>
        <v>40000</v>
      </c>
      <c r="M101" s="445">
        <f>E101+I101</f>
        <v>40000</v>
      </c>
      <c r="N101" s="445">
        <f>F101+J101</f>
        <v>0</v>
      </c>
      <c r="O101" s="505">
        <f>G101+K101</f>
        <v>0</v>
      </c>
    </row>
    <row r="102" spans="1:15" ht="13.8" x14ac:dyDescent="0.25">
      <c r="A102" s="442"/>
      <c r="B102" s="489"/>
      <c r="C102" s="139"/>
      <c r="D102" s="439"/>
      <c r="E102" s="438"/>
      <c r="F102" s="438"/>
      <c r="G102" s="504"/>
      <c r="H102" s="439"/>
      <c r="I102" s="438"/>
      <c r="J102" s="438"/>
      <c r="K102" s="504"/>
      <c r="L102" s="439"/>
      <c r="M102" s="438"/>
      <c r="N102" s="438"/>
      <c r="O102" s="504"/>
    </row>
    <row r="103" spans="1:15" ht="13.8" x14ac:dyDescent="0.25">
      <c r="A103" s="442"/>
      <c r="B103" s="489"/>
      <c r="C103" s="101" t="s">
        <v>713</v>
      </c>
      <c r="D103" s="439"/>
      <c r="E103" s="438"/>
      <c r="F103" s="438"/>
      <c r="G103" s="504"/>
      <c r="H103" s="439"/>
      <c r="I103" s="438"/>
      <c r="J103" s="438"/>
      <c r="K103" s="504"/>
      <c r="L103" s="439"/>
      <c r="M103" s="438"/>
      <c r="N103" s="438"/>
      <c r="O103" s="504"/>
    </row>
    <row r="104" spans="1:15" ht="13.8" x14ac:dyDescent="0.25">
      <c r="A104" s="442"/>
      <c r="B104" s="489"/>
      <c r="C104" s="101" t="s">
        <v>733</v>
      </c>
      <c r="D104" s="439">
        <v>0</v>
      </c>
      <c r="E104" s="438">
        <v>0</v>
      </c>
      <c r="F104" s="438">
        <v>0</v>
      </c>
      <c r="G104" s="504">
        <v>0</v>
      </c>
      <c r="H104" s="439">
        <v>0</v>
      </c>
      <c r="I104" s="438">
        <v>0</v>
      </c>
      <c r="J104" s="438">
        <v>0</v>
      </c>
      <c r="K104" s="504">
        <v>0</v>
      </c>
      <c r="L104" s="439">
        <f>D104+H104</f>
        <v>0</v>
      </c>
      <c r="M104" s="438">
        <f>E104+I104</f>
        <v>0</v>
      </c>
      <c r="N104" s="438">
        <f>F104+J104</f>
        <v>0</v>
      </c>
      <c r="O104" s="504">
        <f>G104+K104</f>
        <v>0</v>
      </c>
    </row>
    <row r="105" spans="1:15" ht="13.8" x14ac:dyDescent="0.25">
      <c r="A105" s="442"/>
      <c r="B105" s="489"/>
      <c r="C105" s="139"/>
      <c r="D105" s="439"/>
      <c r="E105" s="438"/>
      <c r="F105" s="438"/>
      <c r="G105" s="504"/>
      <c r="H105" s="439"/>
      <c r="I105" s="438"/>
      <c r="J105" s="438"/>
      <c r="K105" s="504"/>
      <c r="L105" s="439"/>
      <c r="M105" s="438"/>
      <c r="N105" s="438"/>
      <c r="O105" s="504"/>
    </row>
    <row r="106" spans="1:15" ht="13.8" x14ac:dyDescent="0.25">
      <c r="A106" s="442"/>
      <c r="B106" s="489"/>
      <c r="C106" s="139" t="s">
        <v>26</v>
      </c>
      <c r="D106" s="446">
        <f>SUM(D104:D105)</f>
        <v>0</v>
      </c>
      <c r="E106" s="445">
        <f>SUM(E104:E105)</f>
        <v>0</v>
      </c>
      <c r="F106" s="445">
        <f>SUM(F104:F105)</f>
        <v>0</v>
      </c>
      <c r="G106" s="505">
        <f>SUM(G104:G105)</f>
        <v>0</v>
      </c>
      <c r="H106" s="446">
        <f>SUM(H104:H105)</f>
        <v>0</v>
      </c>
      <c r="I106" s="445">
        <f>SUM(I104:I105)</f>
        <v>0</v>
      </c>
      <c r="J106" s="445">
        <f>SUM(J104:J105)</f>
        <v>0</v>
      </c>
      <c r="K106" s="505">
        <f>SUM(K104:K105)</f>
        <v>0</v>
      </c>
      <c r="L106" s="446">
        <f>D106+H106</f>
        <v>0</v>
      </c>
      <c r="M106" s="445">
        <f>E106+I106</f>
        <v>0</v>
      </c>
      <c r="N106" s="445">
        <f>F106+J106</f>
        <v>0</v>
      </c>
      <c r="O106" s="505">
        <f>G106+K106</f>
        <v>0</v>
      </c>
    </row>
    <row r="107" spans="1:15" ht="13.8" x14ac:dyDescent="0.25">
      <c r="A107" s="442"/>
      <c r="B107" s="489"/>
      <c r="C107" s="101"/>
      <c r="D107" s="439"/>
      <c r="E107" s="438"/>
      <c r="F107" s="438"/>
      <c r="G107" s="504"/>
      <c r="H107" s="439"/>
      <c r="I107" s="438"/>
      <c r="J107" s="438"/>
      <c r="K107" s="504"/>
      <c r="L107" s="439"/>
      <c r="M107" s="438"/>
      <c r="N107" s="438"/>
      <c r="O107" s="504"/>
    </row>
    <row r="108" spans="1:15" ht="14.4" x14ac:dyDescent="0.3">
      <c r="A108" s="442"/>
      <c r="B108" s="489"/>
      <c r="C108" s="102" t="s">
        <v>36</v>
      </c>
      <c r="D108" s="479">
        <f>D91+D96+D101</f>
        <v>1759355</v>
      </c>
      <c r="E108" s="478">
        <f>E91+E96+E101</f>
        <v>1613683</v>
      </c>
      <c r="F108" s="478">
        <f>F91+F96+F101</f>
        <v>125972</v>
      </c>
      <c r="G108" s="500">
        <f>G91+G96+G101</f>
        <v>19700</v>
      </c>
      <c r="H108" s="479">
        <f>H91+H96+H101</f>
        <v>77065</v>
      </c>
      <c r="I108" s="478">
        <f>I91+I96+I101</f>
        <v>77065</v>
      </c>
      <c r="J108" s="478">
        <f>J91+J96+J101</f>
        <v>0</v>
      </c>
      <c r="K108" s="500">
        <f>K91+K96+K101</f>
        <v>0</v>
      </c>
      <c r="L108" s="479">
        <f>D108+H108</f>
        <v>1836420</v>
      </c>
      <c r="M108" s="478">
        <f>E108+I108</f>
        <v>1690748</v>
      </c>
      <c r="N108" s="478">
        <f>F108+J108</f>
        <v>125972</v>
      </c>
      <c r="O108" s="500">
        <f>G108+K108</f>
        <v>19700</v>
      </c>
    </row>
    <row r="109" spans="1:15" ht="13.8" x14ac:dyDescent="0.25">
      <c r="A109" s="442"/>
      <c r="B109" s="489"/>
      <c r="C109" s="101"/>
      <c r="D109" s="452"/>
      <c r="E109" s="451"/>
      <c r="F109" s="451"/>
      <c r="G109" s="498"/>
      <c r="H109" s="452"/>
      <c r="I109" s="451"/>
      <c r="J109" s="451"/>
      <c r="K109" s="498"/>
      <c r="L109" s="452"/>
      <c r="M109" s="451"/>
      <c r="N109" s="451"/>
      <c r="O109" s="498"/>
    </row>
    <row r="110" spans="1:15" ht="13.8" x14ac:dyDescent="0.25">
      <c r="A110" s="442"/>
      <c r="B110" s="489" t="s">
        <v>9</v>
      </c>
      <c r="C110" s="101" t="s">
        <v>66</v>
      </c>
      <c r="D110" s="452"/>
      <c r="E110" s="451"/>
      <c r="F110" s="451"/>
      <c r="G110" s="498"/>
      <c r="H110" s="452"/>
      <c r="I110" s="451"/>
      <c r="J110" s="451"/>
      <c r="K110" s="498"/>
      <c r="L110" s="452"/>
      <c r="M110" s="451"/>
      <c r="N110" s="451"/>
      <c r="O110" s="498"/>
    </row>
    <row r="111" spans="1:15" ht="13.8" x14ac:dyDescent="0.25">
      <c r="A111" s="442"/>
      <c r="B111" s="489"/>
      <c r="C111" s="101" t="s">
        <v>15</v>
      </c>
      <c r="D111" s="452"/>
      <c r="E111" s="451"/>
      <c r="F111" s="451"/>
      <c r="G111" s="498"/>
      <c r="H111" s="452"/>
      <c r="I111" s="451"/>
      <c r="J111" s="451"/>
      <c r="K111" s="498"/>
      <c r="L111" s="452"/>
      <c r="M111" s="451"/>
      <c r="N111" s="451"/>
      <c r="O111" s="498"/>
    </row>
    <row r="112" spans="1:15" ht="13.8" x14ac:dyDescent="0.25">
      <c r="A112" s="454"/>
      <c r="B112" s="453"/>
      <c r="C112" s="101" t="s">
        <v>131</v>
      </c>
      <c r="D112" s="438">
        <v>177278</v>
      </c>
      <c r="E112" s="438">
        <v>177278</v>
      </c>
      <c r="F112" s="451"/>
      <c r="G112" s="498"/>
      <c r="H112" s="438">
        <v>56744</v>
      </c>
      <c r="I112" s="438">
        <v>56744</v>
      </c>
      <c r="J112" s="451"/>
      <c r="K112" s="498"/>
      <c r="L112" s="438">
        <f>D112+H112</f>
        <v>234022</v>
      </c>
      <c r="M112" s="438">
        <f>E112+I112</f>
        <v>234022</v>
      </c>
      <c r="N112" s="451">
        <f>F112+J112</f>
        <v>0</v>
      </c>
      <c r="O112" s="498">
        <f>G112+K112</f>
        <v>0</v>
      </c>
    </row>
    <row r="113" spans="1:15" ht="13.8" x14ac:dyDescent="0.25">
      <c r="A113" s="454"/>
      <c r="B113" s="453"/>
      <c r="C113" s="101" t="s">
        <v>92</v>
      </c>
      <c r="D113" s="438"/>
      <c r="E113" s="438"/>
      <c r="F113" s="451"/>
      <c r="G113" s="498"/>
      <c r="H113" s="438"/>
      <c r="I113" s="438"/>
      <c r="J113" s="451"/>
      <c r="K113" s="498"/>
      <c r="L113" s="438">
        <f>D113+H113</f>
        <v>0</v>
      </c>
      <c r="M113" s="438">
        <f>E113+I113</f>
        <v>0</v>
      </c>
      <c r="N113" s="451">
        <f>F113+J113</f>
        <v>0</v>
      </c>
      <c r="O113" s="498">
        <f>G113+K113</f>
        <v>0</v>
      </c>
    </row>
    <row r="114" spans="1:15" ht="13.8" x14ac:dyDescent="0.25">
      <c r="A114" s="454"/>
      <c r="B114" s="453"/>
      <c r="C114" s="101" t="s">
        <v>93</v>
      </c>
      <c r="D114" s="438"/>
      <c r="E114" s="438"/>
      <c r="F114" s="451"/>
      <c r="G114" s="498"/>
      <c r="H114" s="438"/>
      <c r="I114" s="438"/>
      <c r="J114" s="451"/>
      <c r="K114" s="498"/>
      <c r="L114" s="438">
        <f>D114+H114</f>
        <v>0</v>
      </c>
      <c r="M114" s="438">
        <f>E114+I114</f>
        <v>0</v>
      </c>
      <c r="N114" s="451">
        <f>F114+J114</f>
        <v>0</v>
      </c>
      <c r="O114" s="498">
        <f>G114+K114</f>
        <v>0</v>
      </c>
    </row>
    <row r="115" spans="1:15" ht="13.8" x14ac:dyDescent="0.25">
      <c r="A115" s="454"/>
      <c r="B115" s="453"/>
      <c r="C115" s="101" t="s">
        <v>94</v>
      </c>
      <c r="D115" s="438">
        <v>26000</v>
      </c>
      <c r="E115" s="438">
        <v>26000</v>
      </c>
      <c r="F115" s="451"/>
      <c r="G115" s="498"/>
      <c r="H115" s="438"/>
      <c r="I115" s="438"/>
      <c r="J115" s="451"/>
      <c r="K115" s="498"/>
      <c r="L115" s="438">
        <f>D115+H115</f>
        <v>26000</v>
      </c>
      <c r="M115" s="438">
        <f>E115+I115</f>
        <v>26000</v>
      </c>
      <c r="N115" s="451">
        <f>F115+J115</f>
        <v>0</v>
      </c>
      <c r="O115" s="498">
        <f>G115+K115</f>
        <v>0</v>
      </c>
    </row>
    <row r="116" spans="1:15" ht="13.8" x14ac:dyDescent="0.25">
      <c r="A116" s="454"/>
      <c r="B116" s="453"/>
      <c r="C116" s="101" t="s">
        <v>95</v>
      </c>
      <c r="D116" s="438">
        <v>56000</v>
      </c>
      <c r="E116" s="438">
        <v>56000</v>
      </c>
      <c r="F116" s="451"/>
      <c r="G116" s="498"/>
      <c r="H116" s="438"/>
      <c r="I116" s="438"/>
      <c r="J116" s="451"/>
      <c r="K116" s="498"/>
      <c r="L116" s="438">
        <f>D116+H116</f>
        <v>56000</v>
      </c>
      <c r="M116" s="438">
        <f>E116+I116</f>
        <v>56000</v>
      </c>
      <c r="N116" s="451">
        <f>F116+J116</f>
        <v>0</v>
      </c>
      <c r="O116" s="498">
        <f>G116+K116</f>
        <v>0</v>
      </c>
    </row>
    <row r="117" spans="1:15" ht="13.8" x14ac:dyDescent="0.25">
      <c r="A117" s="454"/>
      <c r="B117" s="453"/>
      <c r="C117" s="101"/>
      <c r="D117" s="438"/>
      <c r="E117" s="438"/>
      <c r="F117" s="451"/>
      <c r="G117" s="498"/>
      <c r="H117" s="438"/>
      <c r="I117" s="438"/>
      <c r="J117" s="451"/>
      <c r="K117" s="498"/>
      <c r="L117" s="438"/>
      <c r="M117" s="438"/>
      <c r="N117" s="451"/>
      <c r="O117" s="498"/>
    </row>
    <row r="118" spans="1:15" ht="14.4" x14ac:dyDescent="0.3">
      <c r="A118" s="503"/>
      <c r="B118" s="502"/>
      <c r="C118" s="102" t="s">
        <v>37</v>
      </c>
      <c r="D118" s="501">
        <f>SUM(D111:D116)</f>
        <v>259278</v>
      </c>
      <c r="E118" s="501">
        <f>SUM(E111:E116)</f>
        <v>259278</v>
      </c>
      <c r="F118" s="478">
        <f>SUM(F111:F116)</f>
        <v>0</v>
      </c>
      <c r="G118" s="500">
        <f>SUM(G111:G116)</f>
        <v>0</v>
      </c>
      <c r="H118" s="501">
        <f>SUM(H111:H116)</f>
        <v>56744</v>
      </c>
      <c r="I118" s="501">
        <f>SUM(I111:I116)</f>
        <v>56744</v>
      </c>
      <c r="J118" s="478">
        <f>SUM(J111:J116)</f>
        <v>0</v>
      </c>
      <c r="K118" s="500">
        <f>SUM(K111:K116)</f>
        <v>0</v>
      </c>
      <c r="L118" s="501">
        <f>D118+H118</f>
        <v>316022</v>
      </c>
      <c r="M118" s="501">
        <f>E118+I118</f>
        <v>316022</v>
      </c>
      <c r="N118" s="478">
        <f>F118+J118</f>
        <v>0</v>
      </c>
      <c r="O118" s="500">
        <f>G118+K118</f>
        <v>0</v>
      </c>
    </row>
    <row r="119" spans="1:15" ht="13.8" x14ac:dyDescent="0.25">
      <c r="A119" s="454"/>
      <c r="B119" s="453"/>
      <c r="C119" s="101"/>
      <c r="D119" s="452"/>
      <c r="E119" s="451"/>
      <c r="F119" s="451"/>
      <c r="G119" s="498"/>
      <c r="H119" s="452"/>
      <c r="I119" s="451"/>
      <c r="J119" s="451"/>
      <c r="K119" s="498"/>
      <c r="L119" s="452"/>
      <c r="M119" s="451"/>
      <c r="N119" s="451"/>
      <c r="O119" s="498"/>
    </row>
    <row r="120" spans="1:15" ht="13.8" x14ac:dyDescent="0.25">
      <c r="A120" s="454"/>
      <c r="B120" s="499" t="s">
        <v>16</v>
      </c>
      <c r="C120" s="101" t="s">
        <v>494</v>
      </c>
      <c r="D120" s="452"/>
      <c r="E120" s="451"/>
      <c r="F120" s="451"/>
      <c r="G120" s="498"/>
      <c r="H120" s="452"/>
      <c r="I120" s="451"/>
      <c r="J120" s="451"/>
      <c r="K120" s="498"/>
      <c r="L120" s="452"/>
      <c r="M120" s="451"/>
      <c r="N120" s="451"/>
      <c r="O120" s="498"/>
    </row>
    <row r="121" spans="1:15" ht="13.8" x14ac:dyDescent="0.25">
      <c r="A121" s="454"/>
      <c r="B121" s="453"/>
      <c r="C121" s="101" t="s">
        <v>495</v>
      </c>
      <c r="D121" s="452"/>
      <c r="E121" s="451"/>
      <c r="F121" s="451"/>
      <c r="G121" s="498"/>
      <c r="H121" s="452"/>
      <c r="I121" s="451"/>
      <c r="J121" s="451"/>
      <c r="K121" s="498"/>
      <c r="L121" s="452"/>
      <c r="M121" s="451"/>
      <c r="N121" s="451"/>
      <c r="O121" s="498"/>
    </row>
    <row r="122" spans="1:15" ht="27.6" x14ac:dyDescent="0.25">
      <c r="A122" s="454"/>
      <c r="B122" s="453"/>
      <c r="C122" s="101" t="s">
        <v>135</v>
      </c>
      <c r="D122" s="438">
        <v>80576</v>
      </c>
      <c r="E122" s="438">
        <v>80576</v>
      </c>
      <c r="F122" s="451"/>
      <c r="G122" s="498"/>
      <c r="H122" s="438"/>
      <c r="I122" s="438"/>
      <c r="J122" s="451"/>
      <c r="K122" s="498"/>
      <c r="L122" s="438">
        <f>D122+H122</f>
        <v>80576</v>
      </c>
      <c r="M122" s="438">
        <f>E122+I122</f>
        <v>80576</v>
      </c>
      <c r="N122" s="451">
        <f>F122+J122</f>
        <v>0</v>
      </c>
      <c r="O122" s="498">
        <f>G122+K122</f>
        <v>0</v>
      </c>
    </row>
    <row r="123" spans="1:15" ht="14.4" x14ac:dyDescent="0.3">
      <c r="A123" s="494"/>
      <c r="B123" s="489"/>
      <c r="C123" s="101" t="s">
        <v>132</v>
      </c>
      <c r="D123" s="452">
        <v>8146</v>
      </c>
      <c r="E123" s="451"/>
      <c r="F123" s="451">
        <v>8146</v>
      </c>
      <c r="G123" s="498"/>
      <c r="H123" s="452">
        <v>1083</v>
      </c>
      <c r="I123" s="451"/>
      <c r="J123" s="451">
        <v>1083</v>
      </c>
      <c r="K123" s="498"/>
      <c r="L123" s="452">
        <f>D123+H123</f>
        <v>9229</v>
      </c>
      <c r="M123" s="451">
        <f>E123+I123</f>
        <v>0</v>
      </c>
      <c r="N123" s="451">
        <f>F123+J123</f>
        <v>9229</v>
      </c>
      <c r="O123" s="498">
        <f>G123+K123</f>
        <v>0</v>
      </c>
    </row>
    <row r="124" spans="1:15" ht="14.4" x14ac:dyDescent="0.3">
      <c r="A124" s="494"/>
      <c r="B124" s="489"/>
      <c r="C124" s="101" t="s">
        <v>133</v>
      </c>
      <c r="D124" s="452">
        <v>405</v>
      </c>
      <c r="E124" s="451">
        <v>405</v>
      </c>
      <c r="F124" s="451"/>
      <c r="G124" s="498"/>
      <c r="H124" s="452"/>
      <c r="I124" s="451"/>
      <c r="J124" s="451"/>
      <c r="K124" s="498"/>
      <c r="L124" s="452">
        <f>D124+H124</f>
        <v>405</v>
      </c>
      <c r="M124" s="451">
        <f>E124+I124</f>
        <v>405</v>
      </c>
      <c r="N124" s="451">
        <f>F124+J124</f>
        <v>0</v>
      </c>
      <c r="O124" s="498">
        <f>G124+K124</f>
        <v>0</v>
      </c>
    </row>
    <row r="125" spans="1:15" ht="14.4" x14ac:dyDescent="0.3">
      <c r="A125" s="494"/>
      <c r="B125" s="489"/>
      <c r="C125" s="101" t="s">
        <v>96</v>
      </c>
      <c r="D125" s="452"/>
      <c r="E125" s="451"/>
      <c r="F125" s="451"/>
      <c r="G125" s="498"/>
      <c r="H125" s="452"/>
      <c r="I125" s="451"/>
      <c r="J125" s="451"/>
      <c r="K125" s="498"/>
      <c r="L125" s="452"/>
      <c r="M125" s="451"/>
      <c r="N125" s="451"/>
      <c r="O125" s="498"/>
    </row>
    <row r="126" spans="1:15" ht="14.4" x14ac:dyDescent="0.3">
      <c r="A126" s="494"/>
      <c r="B126" s="489"/>
      <c r="C126" s="101" t="s">
        <v>97</v>
      </c>
      <c r="D126" s="452">
        <v>10573</v>
      </c>
      <c r="E126" s="451">
        <v>10573</v>
      </c>
      <c r="F126" s="451"/>
      <c r="G126" s="498"/>
      <c r="H126" s="452">
        <v>1079</v>
      </c>
      <c r="I126" s="451">
        <v>1079</v>
      </c>
      <c r="J126" s="451">
        <v>0</v>
      </c>
      <c r="K126" s="498">
        <v>0</v>
      </c>
      <c r="L126" s="452">
        <f>D126+H126</f>
        <v>11652</v>
      </c>
      <c r="M126" s="451">
        <f>E126+I126</f>
        <v>11652</v>
      </c>
      <c r="N126" s="451">
        <f>F126+J126</f>
        <v>0</v>
      </c>
      <c r="O126" s="498">
        <f>G126+K126</f>
        <v>0</v>
      </c>
    </row>
    <row r="127" spans="1:15" ht="14.4" x14ac:dyDescent="0.3">
      <c r="A127" s="494"/>
      <c r="B127" s="489"/>
      <c r="C127" s="101" t="s">
        <v>98</v>
      </c>
      <c r="D127" s="452">
        <v>2077</v>
      </c>
      <c r="E127" s="451">
        <v>2077</v>
      </c>
      <c r="F127" s="451"/>
      <c r="G127" s="498"/>
      <c r="H127" s="452">
        <v>194</v>
      </c>
      <c r="I127" s="451">
        <v>194</v>
      </c>
      <c r="J127" s="451">
        <v>0</v>
      </c>
      <c r="K127" s="498">
        <v>0</v>
      </c>
      <c r="L127" s="452">
        <f>D127+H127</f>
        <v>2271</v>
      </c>
      <c r="M127" s="451">
        <f>E127+I127</f>
        <v>2271</v>
      </c>
      <c r="N127" s="451">
        <f>F127+J127</f>
        <v>0</v>
      </c>
      <c r="O127" s="498">
        <f>G127+K127</f>
        <v>0</v>
      </c>
    </row>
    <row r="128" spans="1:15" ht="14.4" x14ac:dyDescent="0.3">
      <c r="A128" s="494"/>
      <c r="B128" s="489"/>
      <c r="C128" s="440" t="s">
        <v>99</v>
      </c>
      <c r="D128" s="452">
        <v>1719</v>
      </c>
      <c r="E128" s="451">
        <v>1719</v>
      </c>
      <c r="F128" s="451"/>
      <c r="G128" s="498"/>
      <c r="H128" s="452">
        <v>146</v>
      </c>
      <c r="I128" s="451">
        <v>146</v>
      </c>
      <c r="J128" s="451">
        <v>0</v>
      </c>
      <c r="K128" s="498">
        <v>0</v>
      </c>
      <c r="L128" s="452">
        <f>D128+H128</f>
        <v>1865</v>
      </c>
      <c r="M128" s="451">
        <f>E128+I128</f>
        <v>1865</v>
      </c>
      <c r="N128" s="451">
        <f>F128+J128</f>
        <v>0</v>
      </c>
      <c r="O128" s="498">
        <f>G128+K128</f>
        <v>0</v>
      </c>
    </row>
    <row r="129" spans="1:15" ht="28.2" x14ac:dyDescent="0.3">
      <c r="A129" s="494"/>
      <c r="B129" s="489"/>
      <c r="C129" s="101" t="s">
        <v>497</v>
      </c>
      <c r="D129" s="452">
        <v>2120</v>
      </c>
      <c r="E129" s="451">
        <v>2120</v>
      </c>
      <c r="F129" s="451"/>
      <c r="G129" s="498"/>
      <c r="H129" s="452">
        <v>583</v>
      </c>
      <c r="I129" s="451">
        <v>583</v>
      </c>
      <c r="J129" s="451">
        <v>0</v>
      </c>
      <c r="K129" s="498">
        <v>0</v>
      </c>
      <c r="L129" s="452">
        <f>D129+H129</f>
        <v>2703</v>
      </c>
      <c r="M129" s="451">
        <f>E129+I129</f>
        <v>2703</v>
      </c>
      <c r="N129" s="451">
        <f>F129+J129</f>
        <v>0</v>
      </c>
      <c r="O129" s="498">
        <f>G129+K129</f>
        <v>0</v>
      </c>
    </row>
    <row r="130" spans="1:15" ht="14.4" x14ac:dyDescent="0.3">
      <c r="A130" s="494"/>
      <c r="B130" s="489"/>
      <c r="C130" s="440" t="s">
        <v>498</v>
      </c>
      <c r="D130" s="452">
        <v>3642</v>
      </c>
      <c r="E130" s="451">
        <v>3642</v>
      </c>
      <c r="F130" s="451"/>
      <c r="G130" s="498"/>
      <c r="H130" s="452">
        <v>-543</v>
      </c>
      <c r="I130" s="451">
        <v>-543</v>
      </c>
      <c r="J130" s="451">
        <v>0</v>
      </c>
      <c r="K130" s="498">
        <v>0</v>
      </c>
      <c r="L130" s="452">
        <f>D130+H130</f>
        <v>3099</v>
      </c>
      <c r="M130" s="451">
        <f>E130+I130</f>
        <v>3099</v>
      </c>
      <c r="N130" s="451">
        <f>F130+J130</f>
        <v>0</v>
      </c>
      <c r="O130" s="498">
        <f>G130+K130</f>
        <v>0</v>
      </c>
    </row>
    <row r="131" spans="1:15" ht="14.4" x14ac:dyDescent="0.3">
      <c r="A131" s="494"/>
      <c r="B131" s="489"/>
      <c r="C131" s="495" t="s">
        <v>724</v>
      </c>
      <c r="D131" s="452">
        <v>2486</v>
      </c>
      <c r="E131" s="451"/>
      <c r="F131" s="451">
        <v>2486</v>
      </c>
      <c r="G131" s="498"/>
      <c r="H131" s="452"/>
      <c r="I131" s="451"/>
      <c r="J131" s="451"/>
      <c r="K131" s="498"/>
      <c r="L131" s="452">
        <f>D131+H131</f>
        <v>2486</v>
      </c>
      <c r="M131" s="451">
        <f>E131+I131</f>
        <v>0</v>
      </c>
      <c r="N131" s="451">
        <f>F131+J131</f>
        <v>2486</v>
      </c>
      <c r="O131" s="498">
        <f>G131+K131</f>
        <v>0</v>
      </c>
    </row>
    <row r="132" spans="1:15" ht="14.4" x14ac:dyDescent="0.3">
      <c r="A132" s="494"/>
      <c r="B132" s="489"/>
      <c r="C132" s="101" t="s">
        <v>641</v>
      </c>
      <c r="D132" s="452">
        <v>5400</v>
      </c>
      <c r="E132" s="451"/>
      <c r="F132" s="451">
        <v>5400</v>
      </c>
      <c r="G132" s="498"/>
      <c r="H132" s="452"/>
      <c r="I132" s="451"/>
      <c r="J132" s="451"/>
      <c r="K132" s="498"/>
      <c r="L132" s="452">
        <f>D132+H132</f>
        <v>5400</v>
      </c>
      <c r="M132" s="451">
        <f>E132+I132</f>
        <v>0</v>
      </c>
      <c r="N132" s="451">
        <f>F132+J132</f>
        <v>5400</v>
      </c>
      <c r="O132" s="498">
        <f>G132+K132</f>
        <v>0</v>
      </c>
    </row>
    <row r="133" spans="1:15" ht="13.8" x14ac:dyDescent="0.25">
      <c r="A133" s="454"/>
      <c r="B133" s="453"/>
      <c r="C133" s="101" t="s">
        <v>642</v>
      </c>
      <c r="D133" s="452">
        <v>300</v>
      </c>
      <c r="E133" s="451"/>
      <c r="F133" s="451"/>
      <c r="G133" s="498">
        <v>300</v>
      </c>
      <c r="H133" s="452"/>
      <c r="I133" s="451"/>
      <c r="J133" s="451"/>
      <c r="K133" s="498"/>
      <c r="L133" s="452">
        <f>D133+H133</f>
        <v>300</v>
      </c>
      <c r="M133" s="451">
        <f>E133+I133</f>
        <v>0</v>
      </c>
      <c r="N133" s="451">
        <f>F133+J133</f>
        <v>0</v>
      </c>
      <c r="O133" s="498">
        <f>G133+K133</f>
        <v>300</v>
      </c>
    </row>
    <row r="134" spans="1:15" ht="28.2" x14ac:dyDescent="0.3">
      <c r="A134" s="494"/>
      <c r="B134" s="489"/>
      <c r="C134" s="101" t="s">
        <v>643</v>
      </c>
      <c r="D134" s="452">
        <v>13360</v>
      </c>
      <c r="E134" s="451">
        <v>13360</v>
      </c>
      <c r="F134" s="451"/>
      <c r="G134" s="498"/>
      <c r="H134" s="452"/>
      <c r="I134" s="451"/>
      <c r="J134" s="451"/>
      <c r="K134" s="498"/>
      <c r="L134" s="452">
        <f>D134+H134</f>
        <v>13360</v>
      </c>
      <c r="M134" s="451">
        <f>E134+I134</f>
        <v>13360</v>
      </c>
      <c r="N134" s="451">
        <f>F134+J134</f>
        <v>0</v>
      </c>
      <c r="O134" s="498">
        <f>G134+K134</f>
        <v>0</v>
      </c>
    </row>
    <row r="135" spans="1:15" ht="14.4" x14ac:dyDescent="0.3">
      <c r="A135" s="494"/>
      <c r="B135" s="489"/>
      <c r="C135" s="101" t="s">
        <v>734</v>
      </c>
      <c r="D135" s="452">
        <v>535</v>
      </c>
      <c r="E135" s="451">
        <v>535</v>
      </c>
      <c r="F135" s="451"/>
      <c r="G135" s="450"/>
      <c r="H135" s="452"/>
      <c r="I135" s="451"/>
      <c r="J135" s="451"/>
      <c r="K135" s="450"/>
      <c r="L135" s="452">
        <f>D135+H135</f>
        <v>535</v>
      </c>
      <c r="M135" s="451">
        <f>E135+I135</f>
        <v>535</v>
      </c>
      <c r="N135" s="451">
        <f>F135+J135</f>
        <v>0</v>
      </c>
      <c r="O135" s="450">
        <f>G135+K135</f>
        <v>0</v>
      </c>
    </row>
    <row r="136" spans="1:15" ht="14.4" x14ac:dyDescent="0.3">
      <c r="A136" s="494"/>
      <c r="B136" s="489"/>
      <c r="C136" s="101" t="s">
        <v>735</v>
      </c>
      <c r="D136" s="452">
        <v>2592</v>
      </c>
      <c r="E136" s="451">
        <v>2592</v>
      </c>
      <c r="F136" s="451"/>
      <c r="G136" s="450"/>
      <c r="H136" s="452"/>
      <c r="I136" s="451"/>
      <c r="J136" s="451"/>
      <c r="K136" s="450"/>
      <c r="L136" s="452">
        <f>D136+H136</f>
        <v>2592</v>
      </c>
      <c r="M136" s="451">
        <f>E136+I136</f>
        <v>2592</v>
      </c>
      <c r="N136" s="451">
        <f>F136+J136</f>
        <v>0</v>
      </c>
      <c r="O136" s="450">
        <f>G136+K136</f>
        <v>0</v>
      </c>
    </row>
    <row r="137" spans="1:15" ht="14.4" x14ac:dyDescent="0.3">
      <c r="A137" s="494"/>
      <c r="B137" s="489"/>
      <c r="C137" s="495" t="s">
        <v>736</v>
      </c>
      <c r="D137" s="452">
        <v>2000</v>
      </c>
      <c r="E137" s="451">
        <v>2000</v>
      </c>
      <c r="F137" s="451"/>
      <c r="G137" s="450"/>
      <c r="H137" s="452"/>
      <c r="I137" s="451"/>
      <c r="J137" s="451"/>
      <c r="K137" s="450"/>
      <c r="L137" s="452">
        <f>D137+H137</f>
        <v>2000</v>
      </c>
      <c r="M137" s="451">
        <f>E137+I137</f>
        <v>2000</v>
      </c>
      <c r="N137" s="451">
        <f>F137+J137</f>
        <v>0</v>
      </c>
      <c r="O137" s="450">
        <f>G137+K137</f>
        <v>0</v>
      </c>
    </row>
    <row r="138" spans="1:15" ht="14.4" x14ac:dyDescent="0.3">
      <c r="A138" s="494"/>
      <c r="B138" s="489"/>
      <c r="C138" s="495" t="s">
        <v>1039</v>
      </c>
      <c r="D138" s="452"/>
      <c r="E138" s="451"/>
      <c r="F138" s="451"/>
      <c r="G138" s="450"/>
      <c r="H138" s="452">
        <v>3823</v>
      </c>
      <c r="I138" s="451">
        <v>3823</v>
      </c>
      <c r="J138" s="451">
        <v>0</v>
      </c>
      <c r="K138" s="450">
        <v>0</v>
      </c>
      <c r="L138" s="452">
        <f>D138+H138</f>
        <v>3823</v>
      </c>
      <c r="M138" s="451">
        <f>E138+I138</f>
        <v>3823</v>
      </c>
      <c r="N138" s="451">
        <f>F138+J138</f>
        <v>0</v>
      </c>
      <c r="O138" s="450">
        <f>G138+K138</f>
        <v>0</v>
      </c>
    </row>
    <row r="139" spans="1:15" ht="14.4" x14ac:dyDescent="0.3">
      <c r="A139" s="494"/>
      <c r="B139" s="489"/>
      <c r="C139" s="101"/>
      <c r="D139" s="452"/>
      <c r="E139" s="451"/>
      <c r="F139" s="451"/>
      <c r="G139" s="450"/>
      <c r="H139" s="452"/>
      <c r="I139" s="451"/>
      <c r="J139" s="451"/>
      <c r="K139" s="450"/>
      <c r="L139" s="452"/>
      <c r="M139" s="451"/>
      <c r="N139" s="451"/>
      <c r="O139" s="450"/>
    </row>
    <row r="140" spans="1:15" ht="14.4" x14ac:dyDescent="0.3">
      <c r="A140" s="494"/>
      <c r="B140" s="489"/>
      <c r="C140" s="139" t="s">
        <v>26</v>
      </c>
      <c r="D140" s="446">
        <f>SUM(D122:D139)</f>
        <v>135931</v>
      </c>
      <c r="E140" s="445">
        <f>SUM(E122:E139)</f>
        <v>119599</v>
      </c>
      <c r="F140" s="445">
        <f>SUM(F122:F139)</f>
        <v>16032</v>
      </c>
      <c r="G140" s="444">
        <f>SUM(G122:G139)</f>
        <v>300</v>
      </c>
      <c r="H140" s="446">
        <f>SUM(H122:H139)</f>
        <v>6365</v>
      </c>
      <c r="I140" s="445">
        <f>SUM(I122:I139)</f>
        <v>5282</v>
      </c>
      <c r="J140" s="445">
        <f>SUM(J122:J139)</f>
        <v>1083</v>
      </c>
      <c r="K140" s="444">
        <f>SUM(K122:K139)</f>
        <v>0</v>
      </c>
      <c r="L140" s="446">
        <f>D140+H140</f>
        <v>142296</v>
      </c>
      <c r="M140" s="445">
        <f>E140+I140</f>
        <v>124881</v>
      </c>
      <c r="N140" s="445">
        <f>F140+J140</f>
        <v>17115</v>
      </c>
      <c r="O140" s="444">
        <f>G140+K140</f>
        <v>300</v>
      </c>
    </row>
    <row r="141" spans="1:15" ht="14.4" x14ac:dyDescent="0.3">
      <c r="A141" s="494"/>
      <c r="B141" s="492"/>
      <c r="C141" s="139"/>
      <c r="D141" s="482"/>
      <c r="E141" s="481"/>
      <c r="F141" s="481"/>
      <c r="G141" s="480"/>
      <c r="H141" s="482"/>
      <c r="I141" s="481"/>
      <c r="J141" s="481"/>
      <c r="K141" s="480"/>
      <c r="L141" s="482"/>
      <c r="M141" s="481"/>
      <c r="N141" s="481"/>
      <c r="O141" s="480"/>
    </row>
    <row r="142" spans="1:15" x14ac:dyDescent="0.3">
      <c r="A142" s="494"/>
      <c r="B142" s="497"/>
      <c r="C142" s="101" t="s">
        <v>496</v>
      </c>
      <c r="D142" s="452"/>
      <c r="E142" s="451"/>
      <c r="F142" s="451"/>
      <c r="G142" s="450"/>
      <c r="H142" s="452"/>
      <c r="I142" s="451"/>
      <c r="J142" s="451"/>
      <c r="K142" s="450"/>
      <c r="L142" s="452"/>
      <c r="M142" s="451"/>
      <c r="N142" s="451"/>
      <c r="O142" s="450"/>
    </row>
    <row r="143" spans="1:15" ht="13.8" x14ac:dyDescent="0.25">
      <c r="A143" s="442"/>
      <c r="B143" s="492"/>
      <c r="C143" s="101" t="s">
        <v>644</v>
      </c>
      <c r="D143" s="439">
        <v>5000</v>
      </c>
      <c r="E143" s="438">
        <v>5000</v>
      </c>
      <c r="F143" s="438"/>
      <c r="G143" s="437"/>
      <c r="H143" s="439"/>
      <c r="I143" s="438"/>
      <c r="J143" s="438"/>
      <c r="K143" s="437"/>
      <c r="L143" s="439">
        <f>D143+H143</f>
        <v>5000</v>
      </c>
      <c r="M143" s="438">
        <f>E143+I143</f>
        <v>5000</v>
      </c>
      <c r="N143" s="438">
        <f>F143+J143</f>
        <v>0</v>
      </c>
      <c r="O143" s="437">
        <f>G143+K143</f>
        <v>0</v>
      </c>
    </row>
    <row r="144" spans="1:15" ht="13.8" x14ac:dyDescent="0.25">
      <c r="A144" s="442"/>
      <c r="B144" s="492"/>
      <c r="C144" s="101" t="s">
        <v>645</v>
      </c>
      <c r="D144" s="439">
        <v>11000</v>
      </c>
      <c r="E144" s="438">
        <v>11000</v>
      </c>
      <c r="F144" s="438"/>
      <c r="G144" s="437"/>
      <c r="H144" s="439"/>
      <c r="I144" s="438"/>
      <c r="J144" s="438"/>
      <c r="K144" s="437"/>
      <c r="L144" s="439">
        <f>D144+H144</f>
        <v>11000</v>
      </c>
      <c r="M144" s="438">
        <f>E144+I144</f>
        <v>11000</v>
      </c>
      <c r="N144" s="438">
        <f>F144+J144</f>
        <v>0</v>
      </c>
      <c r="O144" s="437">
        <f>G144+K144</f>
        <v>0</v>
      </c>
    </row>
    <row r="145" spans="1:15" ht="27.6" x14ac:dyDescent="0.25">
      <c r="A145" s="442"/>
      <c r="B145" s="492"/>
      <c r="C145" s="101" t="s">
        <v>737</v>
      </c>
      <c r="D145" s="439">
        <v>136000</v>
      </c>
      <c r="E145" s="438">
        <v>136000</v>
      </c>
      <c r="F145" s="438"/>
      <c r="G145" s="437"/>
      <c r="H145" s="439"/>
      <c r="I145" s="438"/>
      <c r="J145" s="438"/>
      <c r="K145" s="437"/>
      <c r="L145" s="439">
        <f>D145+H145</f>
        <v>136000</v>
      </c>
      <c r="M145" s="438">
        <f>E145+I145</f>
        <v>136000</v>
      </c>
      <c r="N145" s="438">
        <f>F145+J145</f>
        <v>0</v>
      </c>
      <c r="O145" s="437">
        <f>G145+K145</f>
        <v>0</v>
      </c>
    </row>
    <row r="146" spans="1:15" ht="27.6" x14ac:dyDescent="0.25">
      <c r="A146" s="442"/>
      <c r="B146" s="492"/>
      <c r="C146" s="101" t="s">
        <v>738</v>
      </c>
      <c r="D146" s="452">
        <v>30342</v>
      </c>
      <c r="E146" s="451">
        <v>30342</v>
      </c>
      <c r="F146" s="451"/>
      <c r="G146" s="450"/>
      <c r="H146" s="452"/>
      <c r="I146" s="451"/>
      <c r="J146" s="451"/>
      <c r="K146" s="450"/>
      <c r="L146" s="452">
        <f>D146+H146</f>
        <v>30342</v>
      </c>
      <c r="M146" s="451">
        <f>E146+I146</f>
        <v>30342</v>
      </c>
      <c r="N146" s="451">
        <f>F146+J146</f>
        <v>0</v>
      </c>
      <c r="O146" s="450">
        <f>G146+K146</f>
        <v>0</v>
      </c>
    </row>
    <row r="147" spans="1:15" ht="27.6" x14ac:dyDescent="0.25">
      <c r="A147" s="442"/>
      <c r="B147" s="492"/>
      <c r="C147" s="101" t="s">
        <v>739</v>
      </c>
      <c r="D147" s="452">
        <v>26368</v>
      </c>
      <c r="E147" s="451">
        <v>26368</v>
      </c>
      <c r="F147" s="451"/>
      <c r="G147" s="450"/>
      <c r="H147" s="452"/>
      <c r="I147" s="451"/>
      <c r="J147" s="451"/>
      <c r="K147" s="450"/>
      <c r="L147" s="452">
        <f>D147+H147</f>
        <v>26368</v>
      </c>
      <c r="M147" s="451">
        <f>E147+I147</f>
        <v>26368</v>
      </c>
      <c r="N147" s="451">
        <f>F147+J147</f>
        <v>0</v>
      </c>
      <c r="O147" s="450">
        <f>G147+K147</f>
        <v>0</v>
      </c>
    </row>
    <row r="148" spans="1:15" ht="13.8" x14ac:dyDescent="0.25">
      <c r="A148" s="442"/>
      <c r="B148" s="492"/>
      <c r="C148" s="101" t="s">
        <v>740</v>
      </c>
      <c r="D148" s="452">
        <v>48080</v>
      </c>
      <c r="E148" s="451">
        <v>48080</v>
      </c>
      <c r="F148" s="451"/>
      <c r="G148" s="450"/>
      <c r="H148" s="452">
        <v>12187</v>
      </c>
      <c r="I148" s="451">
        <v>12187</v>
      </c>
      <c r="J148" s="451"/>
      <c r="K148" s="450"/>
      <c r="L148" s="452">
        <f>D148+H148</f>
        <v>60267</v>
      </c>
      <c r="M148" s="451">
        <f>E148+I148</f>
        <v>60267</v>
      </c>
      <c r="N148" s="451">
        <f>F148+J148</f>
        <v>0</v>
      </c>
      <c r="O148" s="450">
        <f>G148+K148</f>
        <v>0</v>
      </c>
    </row>
    <row r="149" spans="1:15" ht="27.6" x14ac:dyDescent="0.25">
      <c r="A149" s="442"/>
      <c r="B149" s="492"/>
      <c r="C149" s="101" t="s">
        <v>741</v>
      </c>
      <c r="D149" s="452">
        <v>305317</v>
      </c>
      <c r="E149" s="451">
        <v>305317</v>
      </c>
      <c r="F149" s="451"/>
      <c r="G149" s="450"/>
      <c r="H149" s="452"/>
      <c r="I149" s="451"/>
      <c r="J149" s="451"/>
      <c r="K149" s="450"/>
      <c r="L149" s="452">
        <f>D149+H149</f>
        <v>305317</v>
      </c>
      <c r="M149" s="451">
        <f>E149+I149</f>
        <v>305317</v>
      </c>
      <c r="N149" s="451">
        <f>F149+J149</f>
        <v>0</v>
      </c>
      <c r="O149" s="450">
        <f>G149+K149</f>
        <v>0</v>
      </c>
    </row>
    <row r="150" spans="1:15" ht="13.8" x14ac:dyDescent="0.25">
      <c r="A150" s="442"/>
      <c r="B150" s="492"/>
      <c r="C150" s="101" t="s">
        <v>742</v>
      </c>
      <c r="D150" s="452">
        <v>57213</v>
      </c>
      <c r="E150" s="451">
        <v>57213</v>
      </c>
      <c r="F150" s="451"/>
      <c r="G150" s="450"/>
      <c r="H150" s="452"/>
      <c r="I150" s="451"/>
      <c r="J150" s="451"/>
      <c r="K150" s="450"/>
      <c r="L150" s="452">
        <f>D150+H150</f>
        <v>57213</v>
      </c>
      <c r="M150" s="451">
        <f>E150+I150</f>
        <v>57213</v>
      </c>
      <c r="N150" s="451">
        <f>F150+J150</f>
        <v>0</v>
      </c>
      <c r="O150" s="450">
        <f>G150+K150</f>
        <v>0</v>
      </c>
    </row>
    <row r="151" spans="1:15" ht="13.8" x14ac:dyDescent="0.25">
      <c r="A151" s="442"/>
      <c r="B151" s="492"/>
      <c r="C151" s="495" t="s">
        <v>743</v>
      </c>
      <c r="D151" s="452">
        <v>13018</v>
      </c>
      <c r="E151" s="451">
        <v>13018</v>
      </c>
      <c r="F151" s="451"/>
      <c r="G151" s="450"/>
      <c r="H151" s="452"/>
      <c r="I151" s="451"/>
      <c r="J151" s="451"/>
      <c r="K151" s="450"/>
      <c r="L151" s="452">
        <f>D151+H151</f>
        <v>13018</v>
      </c>
      <c r="M151" s="451">
        <f>E151+I151</f>
        <v>13018</v>
      </c>
      <c r="N151" s="451">
        <f>F151+J151</f>
        <v>0</v>
      </c>
      <c r="O151" s="450">
        <f>G151+K151</f>
        <v>0</v>
      </c>
    </row>
    <row r="152" spans="1:15" ht="13.8" x14ac:dyDescent="0.25">
      <c r="A152" s="442"/>
      <c r="B152" s="492"/>
      <c r="C152" s="495" t="s">
        <v>1038</v>
      </c>
      <c r="D152" s="452"/>
      <c r="E152" s="451"/>
      <c r="F152" s="451"/>
      <c r="G152" s="450"/>
      <c r="H152" s="452">
        <v>5722</v>
      </c>
      <c r="I152" s="451">
        <v>5722</v>
      </c>
      <c r="J152" s="451"/>
      <c r="K152" s="450"/>
      <c r="L152" s="452">
        <f>D152+H152</f>
        <v>5722</v>
      </c>
      <c r="M152" s="451">
        <f>E152+I152</f>
        <v>5722</v>
      </c>
      <c r="N152" s="451">
        <f>F152+J152</f>
        <v>0</v>
      </c>
      <c r="O152" s="450">
        <f>G152+K152</f>
        <v>0</v>
      </c>
    </row>
    <row r="153" spans="1:15" ht="27.6" x14ac:dyDescent="0.25">
      <c r="A153" s="442"/>
      <c r="B153" s="492"/>
      <c r="C153" s="495" t="s">
        <v>1037</v>
      </c>
      <c r="D153" s="452"/>
      <c r="E153" s="451"/>
      <c r="F153" s="451"/>
      <c r="G153" s="450"/>
      <c r="H153" s="452">
        <v>331</v>
      </c>
      <c r="I153" s="451">
        <v>331</v>
      </c>
      <c r="J153" s="451"/>
      <c r="K153" s="450"/>
      <c r="L153" s="452">
        <f>D153+H153</f>
        <v>331</v>
      </c>
      <c r="M153" s="451">
        <f>E153+I153</f>
        <v>331</v>
      </c>
      <c r="N153" s="451">
        <f>F153+J153</f>
        <v>0</v>
      </c>
      <c r="O153" s="450">
        <f>G153+K153</f>
        <v>0</v>
      </c>
    </row>
    <row r="154" spans="1:15" ht="13.8" x14ac:dyDescent="0.25">
      <c r="A154" s="442"/>
      <c r="B154" s="492"/>
      <c r="C154" s="101"/>
      <c r="D154" s="439"/>
      <c r="E154" s="438"/>
      <c r="F154" s="438"/>
      <c r="G154" s="437"/>
      <c r="H154" s="439"/>
      <c r="I154" s="438"/>
      <c r="J154" s="438"/>
      <c r="K154" s="437"/>
      <c r="L154" s="439"/>
      <c r="M154" s="438"/>
      <c r="N154" s="438"/>
      <c r="O154" s="437"/>
    </row>
    <row r="155" spans="1:15" ht="13.8" x14ac:dyDescent="0.25">
      <c r="A155" s="442"/>
      <c r="B155" s="492"/>
      <c r="C155" s="139" t="s">
        <v>26</v>
      </c>
      <c r="D155" s="482">
        <f>SUM(D142:D154)</f>
        <v>632338</v>
      </c>
      <c r="E155" s="481">
        <f>SUM(E142:E154)</f>
        <v>632338</v>
      </c>
      <c r="F155" s="481">
        <f>SUM(F142:F154)</f>
        <v>0</v>
      </c>
      <c r="G155" s="480">
        <f>SUM(G142:G154)</f>
        <v>0</v>
      </c>
      <c r="H155" s="482">
        <f>SUM(H142:H154)</f>
        <v>18240</v>
      </c>
      <c r="I155" s="481">
        <f>SUM(I142:I154)</f>
        <v>18240</v>
      </c>
      <c r="J155" s="481">
        <f>SUM(J142:J154)</f>
        <v>0</v>
      </c>
      <c r="K155" s="480">
        <f>SUM(K142:K154)</f>
        <v>0</v>
      </c>
      <c r="L155" s="482">
        <f>D155+H155</f>
        <v>650578</v>
      </c>
      <c r="M155" s="481">
        <f>E155+I155</f>
        <v>650578</v>
      </c>
      <c r="N155" s="481">
        <f>F155+J155</f>
        <v>0</v>
      </c>
      <c r="O155" s="480">
        <f>G155+K155</f>
        <v>0</v>
      </c>
    </row>
    <row r="156" spans="1:15" ht="13.8" x14ac:dyDescent="0.25">
      <c r="A156" s="442"/>
      <c r="B156" s="492"/>
      <c r="C156" s="139"/>
      <c r="D156" s="482"/>
      <c r="E156" s="481"/>
      <c r="F156" s="481"/>
      <c r="G156" s="480"/>
      <c r="H156" s="482"/>
      <c r="I156" s="481"/>
      <c r="J156" s="481"/>
      <c r="K156" s="480"/>
      <c r="L156" s="482"/>
      <c r="M156" s="481"/>
      <c r="N156" s="481"/>
      <c r="O156" s="480"/>
    </row>
    <row r="157" spans="1:15" ht="14.4" x14ac:dyDescent="0.3">
      <c r="A157" s="494"/>
      <c r="B157" s="492"/>
      <c r="C157" s="102" t="s">
        <v>56</v>
      </c>
      <c r="D157" s="479">
        <f>D140+D155</f>
        <v>768269</v>
      </c>
      <c r="E157" s="478">
        <f>E140+E155</f>
        <v>751937</v>
      </c>
      <c r="F157" s="478">
        <f>F140+F155</f>
        <v>16032</v>
      </c>
      <c r="G157" s="496">
        <f>G140+G155</f>
        <v>300</v>
      </c>
      <c r="H157" s="479">
        <f>H140+H155</f>
        <v>24605</v>
      </c>
      <c r="I157" s="478">
        <f>I140+I155</f>
        <v>23522</v>
      </c>
      <c r="J157" s="478">
        <f>J140+J155</f>
        <v>1083</v>
      </c>
      <c r="K157" s="496">
        <f>K140+K155</f>
        <v>0</v>
      </c>
      <c r="L157" s="479">
        <f>D157+H157</f>
        <v>792874</v>
      </c>
      <c r="M157" s="478">
        <f>E157+I157</f>
        <v>775459</v>
      </c>
      <c r="N157" s="478">
        <f>F157+J157</f>
        <v>17115</v>
      </c>
      <c r="O157" s="496">
        <f>G157+K157</f>
        <v>300</v>
      </c>
    </row>
    <row r="158" spans="1:15" ht="14.4" x14ac:dyDescent="0.3">
      <c r="A158" s="494"/>
      <c r="B158" s="492"/>
      <c r="C158" s="102"/>
      <c r="D158" s="479"/>
      <c r="E158" s="478"/>
      <c r="F158" s="478"/>
      <c r="G158" s="477"/>
      <c r="H158" s="479"/>
      <c r="I158" s="478"/>
      <c r="J158" s="478"/>
      <c r="K158" s="477"/>
      <c r="L158" s="479"/>
      <c r="M158" s="478"/>
      <c r="N158" s="478"/>
      <c r="O158" s="477"/>
    </row>
    <row r="159" spans="1:15" ht="14.4" x14ac:dyDescent="0.3">
      <c r="A159" s="494"/>
      <c r="B159" s="489" t="s">
        <v>19</v>
      </c>
      <c r="C159" s="101" t="s">
        <v>58</v>
      </c>
      <c r="D159" s="452"/>
      <c r="E159" s="451"/>
      <c r="F159" s="451"/>
      <c r="G159" s="450"/>
      <c r="H159" s="452"/>
      <c r="I159" s="451"/>
      <c r="J159" s="451"/>
      <c r="K159" s="450"/>
      <c r="L159" s="452"/>
      <c r="M159" s="451"/>
      <c r="N159" s="451"/>
      <c r="O159" s="450"/>
    </row>
    <row r="160" spans="1:15" ht="14.4" x14ac:dyDescent="0.3">
      <c r="A160" s="494"/>
      <c r="B160" s="490"/>
      <c r="C160" s="101" t="s">
        <v>71</v>
      </c>
      <c r="D160" s="452"/>
      <c r="E160" s="451"/>
      <c r="F160" s="451"/>
      <c r="G160" s="450"/>
      <c r="H160" s="452"/>
      <c r="I160" s="451"/>
      <c r="J160" s="451"/>
      <c r="K160" s="450"/>
      <c r="L160" s="452"/>
      <c r="M160" s="451"/>
      <c r="N160" s="451"/>
      <c r="O160" s="450"/>
    </row>
    <row r="161" spans="1:15" ht="14.4" x14ac:dyDescent="0.3">
      <c r="A161" s="494"/>
      <c r="B161" s="490"/>
      <c r="C161" s="495" t="s">
        <v>744</v>
      </c>
      <c r="D161" s="452">
        <v>2500</v>
      </c>
      <c r="E161" s="451">
        <v>2500</v>
      </c>
      <c r="F161" s="451"/>
      <c r="G161" s="450"/>
      <c r="H161" s="452"/>
      <c r="I161" s="451"/>
      <c r="J161" s="451"/>
      <c r="K161" s="450"/>
      <c r="L161" s="452">
        <f>D161+H161</f>
        <v>2500</v>
      </c>
      <c r="M161" s="451">
        <f>E161+I161</f>
        <v>2500</v>
      </c>
      <c r="N161" s="451">
        <f>F161+J161</f>
        <v>0</v>
      </c>
      <c r="O161" s="450">
        <f>G161+K161</f>
        <v>0</v>
      </c>
    </row>
    <row r="162" spans="1:15" ht="14.4" x14ac:dyDescent="0.3">
      <c r="A162" s="494"/>
      <c r="B162" s="490"/>
      <c r="C162" s="495" t="s">
        <v>745</v>
      </c>
      <c r="D162" s="452">
        <v>2260</v>
      </c>
      <c r="E162" s="451">
        <v>2260</v>
      </c>
      <c r="F162" s="451"/>
      <c r="G162" s="450"/>
      <c r="H162" s="452"/>
      <c r="I162" s="451"/>
      <c r="J162" s="451"/>
      <c r="K162" s="450"/>
      <c r="L162" s="452">
        <f>D162+H162</f>
        <v>2260</v>
      </c>
      <c r="M162" s="451">
        <f>E162+I162</f>
        <v>2260</v>
      </c>
      <c r="N162" s="451">
        <f>F162+J162</f>
        <v>0</v>
      </c>
      <c r="O162" s="450">
        <f>G162+K162</f>
        <v>0</v>
      </c>
    </row>
    <row r="163" spans="1:15" ht="14.4" x14ac:dyDescent="0.3">
      <c r="A163" s="494"/>
      <c r="B163" s="490"/>
      <c r="C163" s="101"/>
      <c r="D163" s="439"/>
      <c r="E163" s="438"/>
      <c r="F163" s="451"/>
      <c r="G163" s="450"/>
      <c r="H163" s="439"/>
      <c r="I163" s="438"/>
      <c r="J163" s="451"/>
      <c r="K163" s="450"/>
      <c r="L163" s="439"/>
      <c r="M163" s="438"/>
      <c r="N163" s="451"/>
      <c r="O163" s="450"/>
    </row>
    <row r="164" spans="1:15" x14ac:dyDescent="0.3">
      <c r="A164" s="493"/>
      <c r="B164" s="492"/>
      <c r="C164" s="139" t="s">
        <v>26</v>
      </c>
      <c r="D164" s="482">
        <f>SUM(D161:D163)</f>
        <v>4760</v>
      </c>
      <c r="E164" s="481">
        <f>SUM(E161:E163)</f>
        <v>4760</v>
      </c>
      <c r="F164" s="481">
        <f>SUM(F161:F163)</f>
        <v>0</v>
      </c>
      <c r="G164" s="480">
        <f>SUM(G161:G163)</f>
        <v>0</v>
      </c>
      <c r="H164" s="482">
        <f>SUM(H161:H163)</f>
        <v>0</v>
      </c>
      <c r="I164" s="481">
        <f>SUM(I161:I163)</f>
        <v>0</v>
      </c>
      <c r="J164" s="481">
        <f>SUM(J161:J163)</f>
        <v>0</v>
      </c>
      <c r="K164" s="480">
        <f>SUM(K161:K163)</f>
        <v>0</v>
      </c>
      <c r="L164" s="482">
        <f>D164+H164</f>
        <v>4760</v>
      </c>
      <c r="M164" s="481">
        <f>E164+I164</f>
        <v>4760</v>
      </c>
      <c r="N164" s="481">
        <f>F164+J164</f>
        <v>0</v>
      </c>
      <c r="O164" s="480">
        <f>G164+K164</f>
        <v>0</v>
      </c>
    </row>
    <row r="165" spans="1:15" ht="13.8" x14ac:dyDescent="0.25">
      <c r="A165" s="491"/>
      <c r="B165" s="489"/>
      <c r="C165" s="101"/>
      <c r="D165" s="452"/>
      <c r="E165" s="451"/>
      <c r="F165" s="451"/>
      <c r="G165" s="450"/>
      <c r="H165" s="452"/>
      <c r="I165" s="451"/>
      <c r="J165" s="451"/>
      <c r="K165" s="450"/>
      <c r="L165" s="452"/>
      <c r="M165" s="451"/>
      <c r="N165" s="451"/>
      <c r="O165" s="450"/>
    </row>
    <row r="166" spans="1:15" ht="13.8" x14ac:dyDescent="0.25">
      <c r="A166" s="491"/>
      <c r="B166" s="489"/>
      <c r="C166" s="101" t="s">
        <v>72</v>
      </c>
      <c r="D166" s="452"/>
      <c r="E166" s="451"/>
      <c r="F166" s="451"/>
      <c r="G166" s="450"/>
      <c r="H166" s="452"/>
      <c r="I166" s="451"/>
      <c r="J166" s="451"/>
      <c r="K166" s="450"/>
      <c r="L166" s="452"/>
      <c r="M166" s="451"/>
      <c r="N166" s="451"/>
      <c r="O166" s="450"/>
    </row>
    <row r="167" spans="1:15" ht="13.8" x14ac:dyDescent="0.25">
      <c r="A167" s="491"/>
      <c r="B167" s="489"/>
      <c r="C167" s="101" t="s">
        <v>722</v>
      </c>
      <c r="D167" s="452">
        <v>400</v>
      </c>
      <c r="E167" s="451">
        <v>400</v>
      </c>
      <c r="F167" s="451"/>
      <c r="G167" s="450"/>
      <c r="H167" s="452"/>
      <c r="I167" s="451"/>
      <c r="J167" s="451"/>
      <c r="K167" s="450"/>
      <c r="L167" s="452">
        <f>D167+H167</f>
        <v>400</v>
      </c>
      <c r="M167" s="451">
        <f>E167+I167</f>
        <v>400</v>
      </c>
      <c r="N167" s="451">
        <f>F167+J167</f>
        <v>0</v>
      </c>
      <c r="O167" s="450">
        <f>G167+K167</f>
        <v>0</v>
      </c>
    </row>
    <row r="168" spans="1:15" ht="14.4" x14ac:dyDescent="0.3">
      <c r="A168" s="442"/>
      <c r="B168" s="490"/>
      <c r="C168" s="101"/>
      <c r="D168" s="452"/>
      <c r="E168" s="451"/>
      <c r="F168" s="451"/>
      <c r="G168" s="450"/>
      <c r="H168" s="452"/>
      <c r="I168" s="451"/>
      <c r="J168" s="451"/>
      <c r="K168" s="450"/>
      <c r="L168" s="452"/>
      <c r="M168" s="451"/>
      <c r="N168" s="451"/>
      <c r="O168" s="450"/>
    </row>
    <row r="169" spans="1:15" ht="13.8" x14ac:dyDescent="0.25">
      <c r="A169" s="442"/>
      <c r="B169" s="472"/>
      <c r="C169" s="139" t="s">
        <v>26</v>
      </c>
      <c r="D169" s="482">
        <f>SUM(D167:D168)</f>
        <v>400</v>
      </c>
      <c r="E169" s="481">
        <f>SUM(E167:E168)</f>
        <v>400</v>
      </c>
      <c r="F169" s="481">
        <f>SUM(F167:F168)</f>
        <v>0</v>
      </c>
      <c r="G169" s="480">
        <f>SUM(G167:G168)</f>
        <v>0</v>
      </c>
      <c r="H169" s="482">
        <f>SUM(H167:H168)</f>
        <v>0</v>
      </c>
      <c r="I169" s="481">
        <f>SUM(I167:I168)</f>
        <v>0</v>
      </c>
      <c r="J169" s="481">
        <f>SUM(J167:J168)</f>
        <v>0</v>
      </c>
      <c r="K169" s="480">
        <f>SUM(K167:K168)</f>
        <v>0</v>
      </c>
      <c r="L169" s="482">
        <f>D169+H169</f>
        <v>400</v>
      </c>
      <c r="M169" s="481">
        <f>E169+I169</f>
        <v>400</v>
      </c>
      <c r="N169" s="481">
        <f>F169+J169</f>
        <v>0</v>
      </c>
      <c r="O169" s="480">
        <f>G169+K169</f>
        <v>0</v>
      </c>
    </row>
    <row r="170" spans="1:15" ht="13.8" x14ac:dyDescent="0.25">
      <c r="A170" s="442"/>
      <c r="B170" s="472"/>
      <c r="C170" s="139"/>
      <c r="D170" s="482"/>
      <c r="E170" s="481"/>
      <c r="F170" s="481"/>
      <c r="G170" s="480"/>
      <c r="H170" s="482"/>
      <c r="I170" s="481"/>
      <c r="J170" s="481"/>
      <c r="K170" s="480"/>
      <c r="L170" s="482"/>
      <c r="M170" s="481"/>
      <c r="N170" s="481"/>
      <c r="O170" s="480"/>
    </row>
    <row r="171" spans="1:15" ht="14.4" x14ac:dyDescent="0.3">
      <c r="A171" s="442"/>
      <c r="B171" s="472"/>
      <c r="C171" s="102" t="s">
        <v>62</v>
      </c>
      <c r="D171" s="479">
        <f>D164+D169</f>
        <v>5160</v>
      </c>
      <c r="E171" s="478">
        <f>E164+E169</f>
        <v>5160</v>
      </c>
      <c r="F171" s="478">
        <f>F164+F169</f>
        <v>0</v>
      </c>
      <c r="G171" s="477">
        <f>G164+G169</f>
        <v>0</v>
      </c>
      <c r="H171" s="479">
        <f>H164+H169</f>
        <v>0</v>
      </c>
      <c r="I171" s="478">
        <f>I164+I169</f>
        <v>0</v>
      </c>
      <c r="J171" s="478">
        <f>J164+J169</f>
        <v>0</v>
      </c>
      <c r="K171" s="477">
        <f>K164+K169</f>
        <v>0</v>
      </c>
      <c r="L171" s="479">
        <f>D171+H171</f>
        <v>5160</v>
      </c>
      <c r="M171" s="478">
        <f>E171+I171</f>
        <v>5160</v>
      </c>
      <c r="N171" s="478">
        <f>F171+J171</f>
        <v>0</v>
      </c>
      <c r="O171" s="477">
        <f>G171+K171</f>
        <v>0</v>
      </c>
    </row>
    <row r="172" spans="1:15" ht="13.8" x14ac:dyDescent="0.25">
      <c r="A172" s="442"/>
      <c r="B172" s="472"/>
      <c r="C172" s="139"/>
      <c r="D172" s="482"/>
      <c r="E172" s="481"/>
      <c r="F172" s="481"/>
      <c r="G172" s="480"/>
      <c r="H172" s="482"/>
      <c r="I172" s="481"/>
      <c r="J172" s="481"/>
      <c r="K172" s="480"/>
      <c r="L172" s="482"/>
      <c r="M172" s="481"/>
      <c r="N172" s="481"/>
      <c r="O172" s="480"/>
    </row>
    <row r="173" spans="1:15" ht="13.8" x14ac:dyDescent="0.25">
      <c r="A173" s="442"/>
      <c r="B173" s="489" t="s">
        <v>21</v>
      </c>
      <c r="C173" s="101" t="s">
        <v>2</v>
      </c>
      <c r="D173" s="452"/>
      <c r="E173" s="451"/>
      <c r="F173" s="451"/>
      <c r="G173" s="450"/>
      <c r="H173" s="452"/>
      <c r="I173" s="451"/>
      <c r="J173" s="451"/>
      <c r="K173" s="450"/>
      <c r="L173" s="452"/>
      <c r="M173" s="451"/>
      <c r="N173" s="451"/>
      <c r="O173" s="450"/>
    </row>
    <row r="174" spans="1:15" ht="13.8" x14ac:dyDescent="0.25">
      <c r="A174" s="442"/>
      <c r="B174" s="472"/>
      <c r="C174" s="101" t="s">
        <v>60</v>
      </c>
      <c r="D174" s="452"/>
      <c r="E174" s="451"/>
      <c r="F174" s="451"/>
      <c r="G174" s="450"/>
      <c r="H174" s="452"/>
      <c r="I174" s="451"/>
      <c r="J174" s="451"/>
      <c r="K174" s="450"/>
      <c r="L174" s="452"/>
      <c r="M174" s="451"/>
      <c r="N174" s="451"/>
      <c r="O174" s="450"/>
    </row>
    <row r="175" spans="1:15" ht="13.8" x14ac:dyDescent="0.25">
      <c r="A175" s="442"/>
      <c r="B175" s="472"/>
      <c r="C175" s="101" t="s">
        <v>100</v>
      </c>
      <c r="D175" s="452">
        <v>300</v>
      </c>
      <c r="E175" s="451">
        <v>300</v>
      </c>
      <c r="F175" s="451"/>
      <c r="G175" s="450"/>
      <c r="H175" s="452"/>
      <c r="I175" s="451"/>
      <c r="J175" s="451"/>
      <c r="K175" s="450"/>
      <c r="L175" s="452">
        <f>D175+H175</f>
        <v>300</v>
      </c>
      <c r="M175" s="451">
        <f>E175+I175</f>
        <v>300</v>
      </c>
      <c r="N175" s="451">
        <f>F175+J175</f>
        <v>0</v>
      </c>
      <c r="O175" s="450">
        <f>G175+K175</f>
        <v>0</v>
      </c>
    </row>
    <row r="176" spans="1:15" ht="13.8" x14ac:dyDescent="0.25">
      <c r="A176" s="488"/>
      <c r="B176" s="487"/>
      <c r="C176" s="101"/>
      <c r="D176" s="452"/>
      <c r="E176" s="451"/>
      <c r="F176" s="451"/>
      <c r="G176" s="450"/>
      <c r="H176" s="452"/>
      <c r="I176" s="451"/>
      <c r="J176" s="451"/>
      <c r="K176" s="450"/>
      <c r="L176" s="452"/>
      <c r="M176" s="451"/>
      <c r="N176" s="451"/>
      <c r="O176" s="450"/>
    </row>
    <row r="177" spans="1:15" ht="13.8" x14ac:dyDescent="0.25">
      <c r="A177" s="488"/>
      <c r="B177" s="487"/>
      <c r="C177" s="139" t="s">
        <v>26</v>
      </c>
      <c r="D177" s="482">
        <f>SUM(D175:D176)</f>
        <v>300</v>
      </c>
      <c r="E177" s="481">
        <f>SUM(E175:E176)</f>
        <v>300</v>
      </c>
      <c r="F177" s="481">
        <f>SUM(F175:F175)</f>
        <v>0</v>
      </c>
      <c r="G177" s="480">
        <f>SUM(G175:G175)</f>
        <v>0</v>
      </c>
      <c r="H177" s="482">
        <f>SUM(H175:H176)</f>
        <v>0</v>
      </c>
      <c r="I177" s="481">
        <f>SUM(I175:I176)</f>
        <v>0</v>
      </c>
      <c r="J177" s="481">
        <f>SUM(J175:J175)</f>
        <v>0</v>
      </c>
      <c r="K177" s="480">
        <f>SUM(K175:K175)</f>
        <v>0</v>
      </c>
      <c r="L177" s="482">
        <f>D177+H177</f>
        <v>300</v>
      </c>
      <c r="M177" s="481">
        <f>E177+I177</f>
        <v>300</v>
      </c>
      <c r="N177" s="481">
        <f>F177+J177</f>
        <v>0</v>
      </c>
      <c r="O177" s="480">
        <f>G177+K177</f>
        <v>0</v>
      </c>
    </row>
    <row r="178" spans="1:15" x14ac:dyDescent="0.3">
      <c r="B178" s="486"/>
      <c r="C178" s="485"/>
      <c r="D178" s="484"/>
      <c r="E178" s="427"/>
      <c r="F178" s="427"/>
      <c r="G178" s="483"/>
      <c r="H178" s="484"/>
      <c r="I178" s="427"/>
      <c r="J178" s="427"/>
      <c r="K178" s="483"/>
      <c r="L178" s="484"/>
      <c r="M178" s="427"/>
      <c r="N178" s="427"/>
      <c r="O178" s="483"/>
    </row>
    <row r="179" spans="1:15" ht="13.8" x14ac:dyDescent="0.25">
      <c r="A179" s="442"/>
      <c r="B179" s="472"/>
      <c r="C179" s="101" t="s">
        <v>73</v>
      </c>
      <c r="D179" s="452"/>
      <c r="E179" s="451"/>
      <c r="F179" s="451"/>
      <c r="G179" s="450"/>
      <c r="H179" s="452"/>
      <c r="I179" s="451"/>
      <c r="J179" s="451"/>
      <c r="K179" s="450"/>
      <c r="L179" s="452"/>
      <c r="M179" s="451"/>
      <c r="N179" s="451"/>
      <c r="O179" s="450"/>
    </row>
    <row r="180" spans="1:15" ht="13.8" x14ac:dyDescent="0.25">
      <c r="A180" s="442"/>
      <c r="B180" s="472"/>
      <c r="C180" s="101" t="s">
        <v>1</v>
      </c>
      <c r="D180" s="452">
        <v>4000</v>
      </c>
      <c r="E180" s="451">
        <v>4000</v>
      </c>
      <c r="F180" s="451"/>
      <c r="G180" s="450"/>
      <c r="H180" s="452"/>
      <c r="I180" s="451"/>
      <c r="J180" s="451"/>
      <c r="K180" s="450"/>
      <c r="L180" s="452">
        <f>D180+H180</f>
        <v>4000</v>
      </c>
      <c r="M180" s="451">
        <f>E180+I180</f>
        <v>4000</v>
      </c>
      <c r="N180" s="451">
        <f>F180+J180</f>
        <v>0</v>
      </c>
      <c r="O180" s="450">
        <f>G180+K180</f>
        <v>0</v>
      </c>
    </row>
    <row r="181" spans="1:15" ht="13.8" x14ac:dyDescent="0.25">
      <c r="A181" s="442"/>
      <c r="B181" s="472"/>
      <c r="C181" s="101" t="s">
        <v>1036</v>
      </c>
      <c r="D181" s="452">
        <v>10000</v>
      </c>
      <c r="E181" s="451">
        <v>10000</v>
      </c>
      <c r="F181" s="451"/>
      <c r="G181" s="450"/>
      <c r="H181" s="452">
        <v>9000</v>
      </c>
      <c r="I181" s="451">
        <v>9000</v>
      </c>
      <c r="J181" s="451">
        <v>0</v>
      </c>
      <c r="K181" s="450">
        <v>0</v>
      </c>
      <c r="L181" s="452">
        <f>D181+H181</f>
        <v>19000</v>
      </c>
      <c r="M181" s="451">
        <f>E181+I181</f>
        <v>19000</v>
      </c>
      <c r="N181" s="451">
        <f>F181+J181</f>
        <v>0</v>
      </c>
      <c r="O181" s="450">
        <f>G181+K181</f>
        <v>0</v>
      </c>
    </row>
    <row r="182" spans="1:15" ht="13.8" x14ac:dyDescent="0.25">
      <c r="A182" s="442"/>
      <c r="B182" s="472"/>
      <c r="C182" s="101"/>
      <c r="D182" s="452"/>
      <c r="E182" s="451"/>
      <c r="F182" s="451"/>
      <c r="G182" s="450"/>
      <c r="H182" s="452"/>
      <c r="I182" s="451"/>
      <c r="J182" s="451"/>
      <c r="K182" s="450"/>
      <c r="L182" s="452"/>
      <c r="M182" s="451"/>
      <c r="N182" s="451"/>
      <c r="O182" s="450"/>
    </row>
    <row r="183" spans="1:15" ht="13.8" x14ac:dyDescent="0.25">
      <c r="A183" s="442"/>
      <c r="B183" s="472"/>
      <c r="C183" s="139" t="s">
        <v>26</v>
      </c>
      <c r="D183" s="482">
        <f>SUM(D180:D181)</f>
        <v>14000</v>
      </c>
      <c r="E183" s="481">
        <f>SUM(E180:E181)</f>
        <v>14000</v>
      </c>
      <c r="F183" s="481">
        <f>SUM(F180:F181)</f>
        <v>0</v>
      </c>
      <c r="G183" s="480">
        <f>SUM(G180:G181)</f>
        <v>0</v>
      </c>
      <c r="H183" s="482">
        <f>SUM(H180:H181)</f>
        <v>9000</v>
      </c>
      <c r="I183" s="481">
        <f>SUM(I180:I181)</f>
        <v>9000</v>
      </c>
      <c r="J183" s="481">
        <f>SUM(J180:J181)</f>
        <v>0</v>
      </c>
      <c r="K183" s="480">
        <f>SUM(K180:K181)</f>
        <v>0</v>
      </c>
      <c r="L183" s="482">
        <f>D183+H183</f>
        <v>23000</v>
      </c>
      <c r="M183" s="481">
        <f>E183+I183</f>
        <v>23000</v>
      </c>
      <c r="N183" s="481">
        <f>F183+J183</f>
        <v>0</v>
      </c>
      <c r="O183" s="480">
        <f>G183+K183</f>
        <v>0</v>
      </c>
    </row>
    <row r="184" spans="1:15" ht="13.8" x14ac:dyDescent="0.25">
      <c r="A184" s="442"/>
      <c r="B184" s="472"/>
      <c r="C184" s="139"/>
      <c r="D184" s="482"/>
      <c r="E184" s="481"/>
      <c r="F184" s="481"/>
      <c r="G184" s="480"/>
      <c r="H184" s="482"/>
      <c r="I184" s="481"/>
      <c r="J184" s="481"/>
      <c r="K184" s="480"/>
      <c r="L184" s="482"/>
      <c r="M184" s="481"/>
      <c r="N184" s="481"/>
      <c r="O184" s="480"/>
    </row>
    <row r="185" spans="1:15" ht="14.4" x14ac:dyDescent="0.3">
      <c r="A185" s="442"/>
      <c r="B185" s="472"/>
      <c r="C185" s="102" t="s">
        <v>39</v>
      </c>
      <c r="D185" s="479">
        <f>D183+D177</f>
        <v>14300</v>
      </c>
      <c r="E185" s="478">
        <f>E183+E177</f>
        <v>14300</v>
      </c>
      <c r="F185" s="478">
        <f>F183+F177</f>
        <v>0</v>
      </c>
      <c r="G185" s="477">
        <f>G183+G177</f>
        <v>0</v>
      </c>
      <c r="H185" s="479">
        <f>H183+H177</f>
        <v>9000</v>
      </c>
      <c r="I185" s="478">
        <f>I183+I177</f>
        <v>9000</v>
      </c>
      <c r="J185" s="478">
        <f>J183+J177</f>
        <v>0</v>
      </c>
      <c r="K185" s="477">
        <f>K183+K177</f>
        <v>0</v>
      </c>
      <c r="L185" s="479">
        <f>D185+H185</f>
        <v>23300</v>
      </c>
      <c r="M185" s="478">
        <f>E185+I185</f>
        <v>23300</v>
      </c>
      <c r="N185" s="478">
        <f>F185+J185</f>
        <v>0</v>
      </c>
      <c r="O185" s="477">
        <f>G185+K185</f>
        <v>0</v>
      </c>
    </row>
    <row r="186" spans="1:15" ht="13.8" x14ac:dyDescent="0.25">
      <c r="A186" s="442"/>
      <c r="B186" s="472"/>
      <c r="C186" s="101"/>
      <c r="D186" s="452"/>
      <c r="E186" s="451"/>
      <c r="F186" s="451"/>
      <c r="G186" s="450"/>
      <c r="H186" s="452"/>
      <c r="I186" s="451"/>
      <c r="J186" s="451"/>
      <c r="K186" s="450"/>
      <c r="L186" s="452"/>
      <c r="M186" s="451"/>
      <c r="N186" s="451"/>
      <c r="O186" s="450"/>
    </row>
    <row r="187" spans="1:15" ht="13.8" x14ac:dyDescent="0.25">
      <c r="A187" s="442"/>
      <c r="B187" s="472"/>
      <c r="C187" s="476" t="s">
        <v>488</v>
      </c>
      <c r="D187" s="475">
        <f>D65+D80+D108+D118+D157+D171+D185</f>
        <v>4110638</v>
      </c>
      <c r="E187" s="474">
        <f>E65+E80+E108+E118+E157+E171+E185</f>
        <v>3937434</v>
      </c>
      <c r="F187" s="474">
        <f>F65+F80+F108+F118+F157+F171+F185</f>
        <v>153204</v>
      </c>
      <c r="G187" s="473">
        <f>G65+G80+G108+G118+G157+G171+G185</f>
        <v>20000</v>
      </c>
      <c r="H187" s="475">
        <f>H65+H80+H108+H118+H157+H171+H185</f>
        <v>-24902</v>
      </c>
      <c r="I187" s="474">
        <f>I65+I80+I108+I118+I157+I171+I185</f>
        <v>-25985</v>
      </c>
      <c r="J187" s="474">
        <f>J65+J80+J108+J118+J157+J171+J185</f>
        <v>1083</v>
      </c>
      <c r="K187" s="473">
        <f>K65+K80+K108+K118+K157+K171+K185</f>
        <v>0</v>
      </c>
      <c r="L187" s="475">
        <f>D187+H187</f>
        <v>4085736</v>
      </c>
      <c r="M187" s="474">
        <f>E187+I187</f>
        <v>3911449</v>
      </c>
      <c r="N187" s="474">
        <f>F187+J187</f>
        <v>154287</v>
      </c>
      <c r="O187" s="473">
        <f>G187+K187</f>
        <v>20000</v>
      </c>
    </row>
    <row r="188" spans="1:15" ht="13.8" x14ac:dyDescent="0.25">
      <c r="A188" s="442"/>
      <c r="B188" s="472"/>
      <c r="C188" s="459"/>
      <c r="D188" s="458"/>
      <c r="E188" s="457"/>
      <c r="F188" s="457"/>
      <c r="G188" s="456"/>
      <c r="H188" s="458"/>
      <c r="I188" s="457"/>
      <c r="J188" s="457"/>
      <c r="K188" s="456"/>
      <c r="L188" s="458"/>
      <c r="M188" s="457"/>
      <c r="N188" s="457"/>
      <c r="O188" s="456"/>
    </row>
    <row r="189" spans="1:15" ht="13.8" x14ac:dyDescent="0.25">
      <c r="A189" s="442"/>
      <c r="B189" s="472"/>
      <c r="C189" s="459"/>
      <c r="D189" s="458"/>
      <c r="E189" s="457"/>
      <c r="F189" s="457"/>
      <c r="G189" s="456"/>
      <c r="H189" s="458"/>
      <c r="I189" s="457"/>
      <c r="J189" s="457"/>
      <c r="K189" s="456"/>
      <c r="L189" s="458"/>
      <c r="M189" s="457"/>
      <c r="N189" s="457"/>
      <c r="O189" s="456"/>
    </row>
    <row r="190" spans="1:15" ht="13.8" x14ac:dyDescent="0.25">
      <c r="A190" s="471" t="s">
        <v>17</v>
      </c>
      <c r="B190" s="470"/>
      <c r="C190" s="469"/>
      <c r="D190" s="468">
        <f>D41+D51+D187</f>
        <v>4231913</v>
      </c>
      <c r="E190" s="467">
        <f>E41+E51+E187</f>
        <v>4058709</v>
      </c>
      <c r="F190" s="467">
        <f>F41+F51+F187</f>
        <v>153204</v>
      </c>
      <c r="G190" s="466">
        <f>G41+G51+G187</f>
        <v>20000</v>
      </c>
      <c r="H190" s="468">
        <f>H41+H51+H187</f>
        <v>12576</v>
      </c>
      <c r="I190" s="467">
        <f>I41+I51+I187</f>
        <v>11493</v>
      </c>
      <c r="J190" s="467">
        <f>J41+J51+J187</f>
        <v>1083</v>
      </c>
      <c r="K190" s="466">
        <f>K41+K51+K187</f>
        <v>0</v>
      </c>
      <c r="L190" s="468">
        <f>D190+H190</f>
        <v>4244489</v>
      </c>
      <c r="M190" s="467">
        <f>E190+I190</f>
        <v>4070202</v>
      </c>
      <c r="N190" s="467">
        <f>F190+J190</f>
        <v>154287</v>
      </c>
      <c r="O190" s="466">
        <f>G190+K190</f>
        <v>20000</v>
      </c>
    </row>
    <row r="191" spans="1:15" ht="13.8" x14ac:dyDescent="0.25">
      <c r="A191" s="442"/>
      <c r="B191" s="455"/>
      <c r="C191" s="459"/>
      <c r="D191" s="458"/>
      <c r="E191" s="457"/>
      <c r="F191" s="457"/>
      <c r="G191" s="456"/>
      <c r="H191" s="458"/>
      <c r="I191" s="457"/>
      <c r="J191" s="457"/>
      <c r="K191" s="456"/>
      <c r="L191" s="458"/>
      <c r="M191" s="457"/>
      <c r="N191" s="457"/>
      <c r="O191" s="456"/>
    </row>
    <row r="192" spans="1:15" ht="13.8" x14ac:dyDescent="0.25">
      <c r="A192" s="442"/>
      <c r="B192" s="465" t="s">
        <v>29</v>
      </c>
      <c r="C192" s="464" t="s">
        <v>489</v>
      </c>
      <c r="D192" s="463"/>
      <c r="E192" s="462"/>
      <c r="F192" s="462"/>
      <c r="G192" s="461"/>
      <c r="H192" s="463"/>
      <c r="I192" s="462"/>
      <c r="J192" s="462"/>
      <c r="K192" s="461"/>
      <c r="L192" s="463"/>
      <c r="M192" s="462"/>
      <c r="N192" s="462"/>
      <c r="O192" s="461"/>
    </row>
    <row r="193" spans="1:15" ht="13.8" x14ac:dyDescent="0.25">
      <c r="A193" s="442"/>
      <c r="B193" s="441"/>
      <c r="C193" s="440" t="s">
        <v>142</v>
      </c>
      <c r="D193" s="439"/>
      <c r="E193" s="438"/>
      <c r="F193" s="438"/>
      <c r="G193" s="437"/>
      <c r="H193" s="439"/>
      <c r="I193" s="438"/>
      <c r="J193" s="438"/>
      <c r="K193" s="437"/>
      <c r="L193" s="439"/>
      <c r="M193" s="438"/>
      <c r="N193" s="438"/>
      <c r="O193" s="437"/>
    </row>
    <row r="194" spans="1:15" ht="13.8" x14ac:dyDescent="0.25">
      <c r="A194" s="449"/>
      <c r="B194" s="448"/>
      <c r="C194" s="440" t="s">
        <v>582</v>
      </c>
      <c r="D194" s="439">
        <v>973</v>
      </c>
      <c r="E194" s="438">
        <v>973</v>
      </c>
      <c r="F194" s="438"/>
      <c r="G194" s="437"/>
      <c r="H194" s="439"/>
      <c r="I194" s="438"/>
      <c r="J194" s="438"/>
      <c r="K194" s="437"/>
      <c r="L194" s="439">
        <f>D194+H194</f>
        <v>973</v>
      </c>
      <c r="M194" s="438">
        <f>E194+I194</f>
        <v>973</v>
      </c>
      <c r="N194" s="438">
        <f>F194+J194</f>
        <v>0</v>
      </c>
      <c r="O194" s="437">
        <f>G194+K194</f>
        <v>0</v>
      </c>
    </row>
    <row r="195" spans="1:15" ht="13.8" x14ac:dyDescent="0.25">
      <c r="A195" s="442"/>
      <c r="B195" s="441"/>
      <c r="C195" s="440" t="s">
        <v>136</v>
      </c>
      <c r="D195" s="439">
        <v>1932</v>
      </c>
      <c r="E195" s="438">
        <v>1932</v>
      </c>
      <c r="F195" s="438"/>
      <c r="G195" s="437"/>
      <c r="H195" s="439"/>
      <c r="I195" s="438"/>
      <c r="J195" s="438"/>
      <c r="K195" s="437"/>
      <c r="L195" s="439">
        <f>D195+H195</f>
        <v>1932</v>
      </c>
      <c r="M195" s="438">
        <f>E195+I195</f>
        <v>1932</v>
      </c>
      <c r="N195" s="438">
        <f>F195+J195</f>
        <v>0</v>
      </c>
      <c r="O195" s="437">
        <f>G195+K195</f>
        <v>0</v>
      </c>
    </row>
    <row r="196" spans="1:15" ht="13.8" x14ac:dyDescent="0.25">
      <c r="A196" s="460"/>
      <c r="B196" s="448"/>
      <c r="C196" s="440" t="s">
        <v>586</v>
      </c>
      <c r="D196" s="439">
        <v>428</v>
      </c>
      <c r="E196" s="438">
        <v>428</v>
      </c>
      <c r="F196" s="438"/>
      <c r="G196" s="437"/>
      <c r="H196" s="439"/>
      <c r="I196" s="438"/>
      <c r="J196" s="438"/>
      <c r="K196" s="437"/>
      <c r="L196" s="439">
        <f>D196+H196</f>
        <v>428</v>
      </c>
      <c r="M196" s="438">
        <f>E196+I196</f>
        <v>428</v>
      </c>
      <c r="N196" s="438">
        <f>F196+J196</f>
        <v>0</v>
      </c>
      <c r="O196" s="437">
        <f>G196+K196</f>
        <v>0</v>
      </c>
    </row>
    <row r="197" spans="1:15" ht="13.8" x14ac:dyDescent="0.25">
      <c r="A197" s="460"/>
      <c r="B197" s="448"/>
      <c r="C197" s="440" t="s">
        <v>1021</v>
      </c>
      <c r="D197" s="439">
        <v>1204</v>
      </c>
      <c r="E197" s="438">
        <v>1204</v>
      </c>
      <c r="F197" s="438"/>
      <c r="G197" s="437"/>
      <c r="H197" s="439"/>
      <c r="I197" s="438"/>
      <c r="J197" s="438"/>
      <c r="K197" s="437"/>
      <c r="L197" s="439">
        <f>D197+H197</f>
        <v>1204</v>
      </c>
      <c r="M197" s="438">
        <f>E197+I197</f>
        <v>1204</v>
      </c>
      <c r="N197" s="438">
        <f>F197+J197</f>
        <v>0</v>
      </c>
      <c r="O197" s="437">
        <f>G197+K197</f>
        <v>0</v>
      </c>
    </row>
    <row r="198" spans="1:15" ht="13.8" x14ac:dyDescent="0.25">
      <c r="A198" s="449"/>
      <c r="B198" s="448"/>
      <c r="C198" s="440" t="s">
        <v>581</v>
      </c>
      <c r="D198" s="439"/>
      <c r="E198" s="438"/>
      <c r="F198" s="438"/>
      <c r="G198" s="437"/>
      <c r="H198" s="439">
        <v>82</v>
      </c>
      <c r="I198" s="438">
        <v>82</v>
      </c>
      <c r="J198" s="438">
        <v>0</v>
      </c>
      <c r="K198" s="437">
        <v>0</v>
      </c>
      <c r="L198" s="439">
        <f>D198+H198</f>
        <v>82</v>
      </c>
      <c r="M198" s="438">
        <f>E198+I198</f>
        <v>82</v>
      </c>
      <c r="N198" s="438">
        <f>F198+J198</f>
        <v>0</v>
      </c>
      <c r="O198" s="437">
        <f>G198+K198</f>
        <v>0</v>
      </c>
    </row>
    <row r="199" spans="1:15" ht="13.8" x14ac:dyDescent="0.25">
      <c r="A199" s="442"/>
      <c r="B199" s="441"/>
      <c r="C199" s="440" t="s">
        <v>580</v>
      </c>
      <c r="D199" s="439">
        <v>212574</v>
      </c>
      <c r="E199" s="438">
        <v>212574</v>
      </c>
      <c r="F199" s="438"/>
      <c r="G199" s="437"/>
      <c r="H199" s="439"/>
      <c r="I199" s="438"/>
      <c r="J199" s="438"/>
      <c r="K199" s="437"/>
      <c r="L199" s="439">
        <f>D199+H199</f>
        <v>212574</v>
      </c>
      <c r="M199" s="438">
        <f>E199+I199</f>
        <v>212574</v>
      </c>
      <c r="N199" s="438">
        <f>F199+J199</f>
        <v>0</v>
      </c>
      <c r="O199" s="437">
        <f>G199+K199</f>
        <v>0</v>
      </c>
    </row>
    <row r="200" spans="1:15" ht="13.8" x14ac:dyDescent="0.25">
      <c r="A200" s="442"/>
      <c r="B200" s="441"/>
      <c r="C200" s="440" t="s">
        <v>588</v>
      </c>
      <c r="D200" s="439">
        <v>96805</v>
      </c>
      <c r="E200" s="438">
        <v>96805</v>
      </c>
      <c r="F200" s="438"/>
      <c r="G200" s="437"/>
      <c r="H200" s="439"/>
      <c r="I200" s="438"/>
      <c r="J200" s="438"/>
      <c r="K200" s="437"/>
      <c r="L200" s="439">
        <f>D200+H200</f>
        <v>96805</v>
      </c>
      <c r="M200" s="438">
        <f>E200+I200</f>
        <v>96805</v>
      </c>
      <c r="N200" s="438">
        <f>F200+J200</f>
        <v>0</v>
      </c>
      <c r="O200" s="437">
        <f>G200+K200</f>
        <v>0</v>
      </c>
    </row>
    <row r="201" spans="1:15" ht="13.8" x14ac:dyDescent="0.25">
      <c r="A201" s="449"/>
      <c r="B201" s="448"/>
      <c r="C201" s="447" t="s">
        <v>24</v>
      </c>
      <c r="D201" s="446">
        <f>SUM(D194:D200)</f>
        <v>313916</v>
      </c>
      <c r="E201" s="445">
        <f>SUM(E194:E200)</f>
        <v>313916</v>
      </c>
      <c r="F201" s="445">
        <f>SUM(F194:F200)</f>
        <v>0</v>
      </c>
      <c r="G201" s="444">
        <f>SUM(G194:G200)</f>
        <v>0</v>
      </c>
      <c r="H201" s="446">
        <f>SUM(H194:H200)</f>
        <v>82</v>
      </c>
      <c r="I201" s="445">
        <f>SUM(I194:I200)</f>
        <v>82</v>
      </c>
      <c r="J201" s="445">
        <f>SUM(J194:J200)</f>
        <v>0</v>
      </c>
      <c r="K201" s="444">
        <f>SUM(K194:K200)</f>
        <v>0</v>
      </c>
      <c r="L201" s="446">
        <f>D201+H201</f>
        <v>313998</v>
      </c>
      <c r="M201" s="445">
        <f>E201+I201</f>
        <v>313998</v>
      </c>
      <c r="N201" s="445">
        <f>F201+J201</f>
        <v>0</v>
      </c>
      <c r="O201" s="444">
        <f>G201+K201</f>
        <v>0</v>
      </c>
    </row>
    <row r="202" spans="1:15" ht="13.8" x14ac:dyDescent="0.25">
      <c r="A202" s="442"/>
      <c r="B202" s="441"/>
      <c r="C202" s="459"/>
      <c r="D202" s="458"/>
      <c r="E202" s="457"/>
      <c r="F202" s="457"/>
      <c r="G202" s="456"/>
      <c r="H202" s="458"/>
      <c r="I202" s="457"/>
      <c r="J202" s="457"/>
      <c r="K202" s="456"/>
      <c r="L202" s="458"/>
      <c r="M202" s="457"/>
      <c r="N202" s="457"/>
      <c r="O202" s="456"/>
    </row>
    <row r="203" spans="1:15" ht="13.8" x14ac:dyDescent="0.25">
      <c r="A203" s="442"/>
      <c r="B203" s="441"/>
      <c r="C203" s="440" t="s">
        <v>143</v>
      </c>
      <c r="D203" s="439"/>
      <c r="E203" s="438"/>
      <c r="F203" s="438"/>
      <c r="G203" s="437"/>
      <c r="H203" s="439"/>
      <c r="I203" s="438"/>
      <c r="J203" s="438"/>
      <c r="K203" s="437"/>
      <c r="L203" s="439"/>
      <c r="M203" s="438"/>
      <c r="N203" s="438"/>
      <c r="O203" s="437"/>
    </row>
    <row r="204" spans="1:15" ht="13.8" x14ac:dyDescent="0.25">
      <c r="A204" s="442"/>
      <c r="B204" s="455"/>
      <c r="C204" s="440" t="s">
        <v>587</v>
      </c>
      <c r="D204" s="439"/>
      <c r="E204" s="438"/>
      <c r="F204" s="438"/>
      <c r="G204" s="437"/>
      <c r="H204" s="439"/>
      <c r="I204" s="438"/>
      <c r="J204" s="438"/>
      <c r="K204" s="437"/>
      <c r="L204" s="439">
        <f>D204+H204</f>
        <v>0</v>
      </c>
      <c r="M204" s="438">
        <f>E204+I204</f>
        <v>0</v>
      </c>
      <c r="N204" s="438">
        <f>F204+J204</f>
        <v>0</v>
      </c>
      <c r="O204" s="437">
        <f>G204+K204</f>
        <v>0</v>
      </c>
    </row>
    <row r="205" spans="1:15" ht="13.8" x14ac:dyDescent="0.25">
      <c r="A205" s="442"/>
      <c r="B205" s="441"/>
      <c r="C205" s="440" t="s">
        <v>137</v>
      </c>
      <c r="D205" s="439"/>
      <c r="E205" s="438"/>
      <c r="F205" s="438"/>
      <c r="G205" s="437"/>
      <c r="H205" s="439"/>
      <c r="I205" s="438"/>
      <c r="J205" s="438"/>
      <c r="K205" s="437"/>
      <c r="L205" s="439">
        <f>D205+H205</f>
        <v>0</v>
      </c>
      <c r="M205" s="438">
        <f>E205+I205</f>
        <v>0</v>
      </c>
      <c r="N205" s="438">
        <f>F205+J205</f>
        <v>0</v>
      </c>
      <c r="O205" s="437">
        <f>G205+K205</f>
        <v>0</v>
      </c>
    </row>
    <row r="206" spans="1:15" ht="13.8" x14ac:dyDescent="0.25">
      <c r="A206" s="442"/>
      <c r="B206" s="441"/>
      <c r="C206" s="101" t="s">
        <v>585</v>
      </c>
      <c r="D206" s="439"/>
      <c r="E206" s="438"/>
      <c r="F206" s="438"/>
      <c r="G206" s="437"/>
      <c r="H206" s="439"/>
      <c r="I206" s="438"/>
      <c r="J206" s="438"/>
      <c r="K206" s="437"/>
      <c r="L206" s="439">
        <f>D206+H206</f>
        <v>0</v>
      </c>
      <c r="M206" s="438">
        <f>E206+I206</f>
        <v>0</v>
      </c>
      <c r="N206" s="438">
        <f>F206+J206</f>
        <v>0</v>
      </c>
      <c r="O206" s="437">
        <f>G206+K206</f>
        <v>0</v>
      </c>
    </row>
    <row r="207" spans="1:15" ht="13.8" x14ac:dyDescent="0.25">
      <c r="A207" s="442"/>
      <c r="B207" s="441"/>
      <c r="C207" s="440" t="s">
        <v>138</v>
      </c>
      <c r="D207" s="439"/>
      <c r="E207" s="438"/>
      <c r="F207" s="438"/>
      <c r="G207" s="437"/>
      <c r="H207" s="439"/>
      <c r="I207" s="438"/>
      <c r="J207" s="438"/>
      <c r="K207" s="437"/>
      <c r="L207" s="439">
        <f>D207+H207</f>
        <v>0</v>
      </c>
      <c r="M207" s="438">
        <f>E207+I207</f>
        <v>0</v>
      </c>
      <c r="N207" s="438">
        <f>F207+J207</f>
        <v>0</v>
      </c>
      <c r="O207" s="437">
        <f>G207+K207</f>
        <v>0</v>
      </c>
    </row>
    <row r="208" spans="1:15" ht="13.8" x14ac:dyDescent="0.25">
      <c r="A208" s="442"/>
      <c r="B208" s="441"/>
      <c r="C208" s="440" t="s">
        <v>711</v>
      </c>
      <c r="D208" s="439">
        <v>2117078</v>
      </c>
      <c r="E208" s="438">
        <v>2117078</v>
      </c>
      <c r="F208" s="438"/>
      <c r="G208" s="437"/>
      <c r="H208" s="439"/>
      <c r="I208" s="438"/>
      <c r="J208" s="438"/>
      <c r="K208" s="437"/>
      <c r="L208" s="439">
        <f>D208+H208</f>
        <v>2117078</v>
      </c>
      <c r="M208" s="438">
        <f>E208+I208</f>
        <v>2117078</v>
      </c>
      <c r="N208" s="438">
        <f>F208+J208</f>
        <v>0</v>
      </c>
      <c r="O208" s="437">
        <f>G208+K208</f>
        <v>0</v>
      </c>
    </row>
    <row r="209" spans="1:15" ht="13.8" x14ac:dyDescent="0.25">
      <c r="A209" s="442"/>
      <c r="B209" s="441"/>
      <c r="C209" s="440" t="s">
        <v>712</v>
      </c>
      <c r="D209" s="439">
        <v>33072</v>
      </c>
      <c r="E209" s="438">
        <v>33072</v>
      </c>
      <c r="F209" s="438"/>
      <c r="G209" s="437"/>
      <c r="H209" s="439"/>
      <c r="I209" s="438"/>
      <c r="J209" s="438"/>
      <c r="K209" s="437"/>
      <c r="L209" s="439">
        <f>D209+H209</f>
        <v>33072</v>
      </c>
      <c r="M209" s="438">
        <f>E209+I209</f>
        <v>33072</v>
      </c>
      <c r="N209" s="438">
        <f>F209+J209</f>
        <v>0</v>
      </c>
      <c r="O209" s="437">
        <f>G209+K209</f>
        <v>0</v>
      </c>
    </row>
    <row r="210" spans="1:15" ht="13.8" x14ac:dyDescent="0.25">
      <c r="A210" s="442"/>
      <c r="B210" s="441"/>
      <c r="C210" s="440" t="s">
        <v>1022</v>
      </c>
      <c r="D210" s="439">
        <v>42133</v>
      </c>
      <c r="E210" s="438">
        <v>42133</v>
      </c>
      <c r="F210" s="438"/>
      <c r="G210" s="437"/>
      <c r="H210" s="439"/>
      <c r="I210" s="438"/>
      <c r="J210" s="438"/>
      <c r="K210" s="437"/>
      <c r="L210" s="439">
        <f>D210+H210</f>
        <v>42133</v>
      </c>
      <c r="M210" s="438">
        <f>E210+I210</f>
        <v>42133</v>
      </c>
      <c r="N210" s="438">
        <f>F210+J210</f>
        <v>0</v>
      </c>
      <c r="O210" s="437">
        <f>G210+K210</f>
        <v>0</v>
      </c>
    </row>
    <row r="211" spans="1:15" ht="13.8" x14ac:dyDescent="0.25">
      <c r="A211" s="449"/>
      <c r="B211" s="448"/>
      <c r="C211" s="447" t="s">
        <v>24</v>
      </c>
      <c r="D211" s="446">
        <f>SUM(D204:D210)</f>
        <v>2192283</v>
      </c>
      <c r="E211" s="445">
        <f>SUM(E204:E210)</f>
        <v>2192283</v>
      </c>
      <c r="F211" s="445">
        <f>SUM(F204:F210)</f>
        <v>0</v>
      </c>
      <c r="G211" s="444">
        <f>SUM(G204:G210)</f>
        <v>0</v>
      </c>
      <c r="H211" s="446">
        <f>SUM(H204:H210)</f>
        <v>0</v>
      </c>
      <c r="I211" s="445">
        <f>SUM(I204:I210)</f>
        <v>0</v>
      </c>
      <c r="J211" s="445">
        <f>SUM(J204:J210)</f>
        <v>0</v>
      </c>
      <c r="K211" s="444">
        <f>SUM(K204:K210)</f>
        <v>0</v>
      </c>
      <c r="L211" s="446">
        <f>D211+H211</f>
        <v>2192283</v>
      </c>
      <c r="M211" s="445">
        <f>E211+I211</f>
        <v>2192283</v>
      </c>
      <c r="N211" s="445">
        <f>F211+J211</f>
        <v>0</v>
      </c>
      <c r="O211" s="444">
        <f>G211+K211</f>
        <v>0</v>
      </c>
    </row>
    <row r="212" spans="1:15" ht="13.8" x14ac:dyDescent="0.25">
      <c r="A212" s="442"/>
      <c r="B212" s="441"/>
      <c r="C212" s="459"/>
      <c r="D212" s="458"/>
      <c r="E212" s="457"/>
      <c r="F212" s="457"/>
      <c r="G212" s="456"/>
      <c r="H212" s="458"/>
      <c r="I212" s="457"/>
      <c r="J212" s="457"/>
      <c r="K212" s="456"/>
      <c r="L212" s="458"/>
      <c r="M212" s="457"/>
      <c r="N212" s="457"/>
      <c r="O212" s="456"/>
    </row>
    <row r="213" spans="1:15" ht="13.8" x14ac:dyDescent="0.25">
      <c r="A213" s="442"/>
      <c r="B213" s="455"/>
      <c r="C213" s="440" t="s">
        <v>490</v>
      </c>
      <c r="D213" s="439"/>
      <c r="E213" s="438"/>
      <c r="F213" s="438"/>
      <c r="G213" s="437"/>
      <c r="H213" s="439"/>
      <c r="I213" s="438"/>
      <c r="J213" s="438"/>
      <c r="K213" s="437"/>
      <c r="L213" s="439"/>
      <c r="M213" s="438"/>
      <c r="N213" s="438"/>
      <c r="O213" s="437"/>
    </row>
    <row r="214" spans="1:15" ht="13.8" x14ac:dyDescent="0.25">
      <c r="A214" s="442"/>
      <c r="B214" s="441"/>
      <c r="C214" s="440" t="s">
        <v>491</v>
      </c>
      <c r="D214" s="439">
        <v>0</v>
      </c>
      <c r="E214" s="438"/>
      <c r="F214" s="438"/>
      <c r="G214" s="437"/>
      <c r="H214" s="439"/>
      <c r="I214" s="438"/>
      <c r="J214" s="438"/>
      <c r="K214" s="437"/>
      <c r="L214" s="439">
        <f>D214+H214</f>
        <v>0</v>
      </c>
      <c r="M214" s="438">
        <f>E214+I214</f>
        <v>0</v>
      </c>
      <c r="N214" s="438">
        <f>F214+J214</f>
        <v>0</v>
      </c>
      <c r="O214" s="437">
        <f>G214+K214</f>
        <v>0</v>
      </c>
    </row>
    <row r="215" spans="1:15" ht="13.8" x14ac:dyDescent="0.25">
      <c r="A215" s="442"/>
      <c r="B215" s="441"/>
      <c r="C215" s="440" t="s">
        <v>492</v>
      </c>
      <c r="D215" s="439">
        <v>0</v>
      </c>
      <c r="E215" s="438"/>
      <c r="F215" s="438"/>
      <c r="G215" s="437"/>
      <c r="H215" s="439"/>
      <c r="I215" s="438"/>
      <c r="J215" s="438"/>
      <c r="K215" s="437"/>
      <c r="L215" s="439">
        <f>D215+H215</f>
        <v>0</v>
      </c>
      <c r="M215" s="438">
        <f>E215+I215</f>
        <v>0</v>
      </c>
      <c r="N215" s="438">
        <f>F215+J215</f>
        <v>0</v>
      </c>
      <c r="O215" s="437">
        <f>G215+K215</f>
        <v>0</v>
      </c>
    </row>
    <row r="216" spans="1:15" ht="13.8" x14ac:dyDescent="0.25">
      <c r="A216" s="454"/>
      <c r="B216" s="453"/>
      <c r="C216" s="101" t="s">
        <v>493</v>
      </c>
      <c r="D216" s="452">
        <v>0</v>
      </c>
      <c r="E216" s="451"/>
      <c r="F216" s="451"/>
      <c r="G216" s="450"/>
      <c r="H216" s="452">
        <v>8302</v>
      </c>
      <c r="I216" s="451">
        <v>8302</v>
      </c>
      <c r="J216" s="451">
        <v>0</v>
      </c>
      <c r="K216" s="450">
        <v>0</v>
      </c>
      <c r="L216" s="452">
        <f>D216+H216</f>
        <v>8302</v>
      </c>
      <c r="M216" s="451">
        <f>E216+I216</f>
        <v>8302</v>
      </c>
      <c r="N216" s="451">
        <f>F216+J216</f>
        <v>0</v>
      </c>
      <c r="O216" s="450">
        <f>G216+K216</f>
        <v>0</v>
      </c>
    </row>
    <row r="217" spans="1:15" ht="13.8" x14ac:dyDescent="0.25">
      <c r="A217" s="449"/>
      <c r="B217" s="448"/>
      <c r="C217" s="447" t="s">
        <v>24</v>
      </c>
      <c r="D217" s="446">
        <f>SUM(D214:D216)</f>
        <v>0</v>
      </c>
      <c r="E217" s="445">
        <f>SUM(E214:E216)</f>
        <v>0</v>
      </c>
      <c r="F217" s="445">
        <f>SUM(F214:F216)</f>
        <v>0</v>
      </c>
      <c r="G217" s="444">
        <f>SUM(G214:G216)</f>
        <v>0</v>
      </c>
      <c r="H217" s="446">
        <f>SUM(H214:H216)</f>
        <v>8302</v>
      </c>
      <c r="I217" s="445">
        <f>SUM(I214:I216)</f>
        <v>8302</v>
      </c>
      <c r="J217" s="445">
        <f>SUM(J214:J216)</f>
        <v>0</v>
      </c>
      <c r="K217" s="444">
        <f>SUM(K214:K216)</f>
        <v>0</v>
      </c>
      <c r="L217" s="446">
        <f>D217+H217</f>
        <v>8302</v>
      </c>
      <c r="M217" s="445">
        <f>E217+I217</f>
        <v>8302</v>
      </c>
      <c r="N217" s="445">
        <f>F217+J217</f>
        <v>0</v>
      </c>
      <c r="O217" s="444">
        <f>G217+K217</f>
        <v>0</v>
      </c>
    </row>
    <row r="218" spans="1:15" ht="13.8" x14ac:dyDescent="0.25">
      <c r="A218" s="449"/>
      <c r="B218" s="448"/>
      <c r="C218" s="447"/>
      <c r="D218" s="446"/>
      <c r="E218" s="445"/>
      <c r="F218" s="445"/>
      <c r="G218" s="444"/>
      <c r="H218" s="446"/>
      <c r="I218" s="445"/>
      <c r="J218" s="445"/>
      <c r="K218" s="444"/>
      <c r="L218" s="446"/>
      <c r="M218" s="445"/>
      <c r="N218" s="445"/>
      <c r="O218" s="444"/>
    </row>
    <row r="219" spans="1:15" ht="14.4" x14ac:dyDescent="0.3">
      <c r="A219" s="442"/>
      <c r="B219" s="443"/>
      <c r="C219" s="440" t="s">
        <v>720</v>
      </c>
      <c r="D219" s="439">
        <v>0</v>
      </c>
      <c r="E219" s="438">
        <v>0</v>
      </c>
      <c r="F219" s="438">
        <v>0</v>
      </c>
      <c r="G219" s="437">
        <v>0</v>
      </c>
      <c r="H219" s="439">
        <v>1873</v>
      </c>
      <c r="I219" s="438">
        <v>1873</v>
      </c>
      <c r="J219" s="438">
        <v>0</v>
      </c>
      <c r="K219" s="437">
        <v>0</v>
      </c>
      <c r="L219" s="439">
        <f>D219+H219</f>
        <v>1873</v>
      </c>
      <c r="M219" s="438">
        <f>E219+I219</f>
        <v>1873</v>
      </c>
      <c r="N219" s="438">
        <f>F219+J219</f>
        <v>0</v>
      </c>
      <c r="O219" s="437">
        <f>G219+K219</f>
        <v>0</v>
      </c>
    </row>
    <row r="220" spans="1:15" ht="13.8" x14ac:dyDescent="0.25">
      <c r="A220" s="442"/>
      <c r="B220" s="441"/>
      <c r="C220" s="440"/>
      <c r="D220" s="439"/>
      <c r="E220" s="438"/>
      <c r="F220" s="438"/>
      <c r="G220" s="437"/>
      <c r="H220" s="439"/>
      <c r="I220" s="438"/>
      <c r="J220" s="438"/>
      <c r="K220" s="437"/>
      <c r="L220" s="439"/>
      <c r="M220" s="438"/>
      <c r="N220" s="438"/>
      <c r="O220" s="437"/>
    </row>
    <row r="221" spans="1:15" ht="14.4" thickBot="1" x14ac:dyDescent="0.3">
      <c r="A221" s="436"/>
      <c r="B221" s="435"/>
      <c r="C221" s="434" t="s">
        <v>17</v>
      </c>
      <c r="D221" s="433">
        <f>D190+D211+D201+D217+D219</f>
        <v>6738112</v>
      </c>
      <c r="E221" s="432">
        <f>E190+E211+E201+E217+E219</f>
        <v>6564908</v>
      </c>
      <c r="F221" s="432">
        <f>F190+F211+F201+F217+F219</f>
        <v>153204</v>
      </c>
      <c r="G221" s="431">
        <f>G190+G211+G201+G217+G219</f>
        <v>20000</v>
      </c>
      <c r="H221" s="433">
        <f>H190+H211+H201+H217+H219</f>
        <v>22833</v>
      </c>
      <c r="I221" s="432">
        <f>I190+I211+I201+I217+I219</f>
        <v>21750</v>
      </c>
      <c r="J221" s="432">
        <f>J190+J211+J201+J217+J219</f>
        <v>1083</v>
      </c>
      <c r="K221" s="431">
        <f>K190+K211+K201+K217+K219</f>
        <v>0</v>
      </c>
      <c r="L221" s="433">
        <f>D221+H221</f>
        <v>6760945</v>
      </c>
      <c r="M221" s="432">
        <f>E221+I221</f>
        <v>6586658</v>
      </c>
      <c r="N221" s="432">
        <f>F221+J221</f>
        <v>154287</v>
      </c>
      <c r="O221" s="431">
        <f>G221+K221</f>
        <v>20000</v>
      </c>
    </row>
    <row r="222" spans="1:15" x14ac:dyDescent="0.3">
      <c r="A222" s="430"/>
      <c r="B222" s="429"/>
      <c r="C222" s="428"/>
      <c r="D222" s="100"/>
      <c r="E222" s="100"/>
      <c r="F222" s="100"/>
      <c r="G222" s="100"/>
      <c r="H222" s="100"/>
      <c r="I222" s="100"/>
      <c r="J222" s="100"/>
      <c r="K222" s="100"/>
      <c r="L222" s="100"/>
      <c r="M222" s="100"/>
      <c r="N222" s="100"/>
      <c r="O222" s="100"/>
    </row>
    <row r="223" spans="1:15" x14ac:dyDescent="0.3">
      <c r="D223" s="427"/>
      <c r="H223" s="427"/>
      <c r="L223" s="427"/>
    </row>
    <row r="224" spans="1:15" x14ac:dyDescent="0.3">
      <c r="D224" s="427"/>
      <c r="H224" s="427"/>
      <c r="L224" s="427"/>
    </row>
    <row r="234" spans="1:3" x14ac:dyDescent="0.3">
      <c r="A234" s="5"/>
      <c r="B234" s="5"/>
      <c r="C234" s="5"/>
    </row>
    <row r="235" spans="1:3" x14ac:dyDescent="0.3">
      <c r="A235" s="5"/>
      <c r="B235" s="5"/>
      <c r="C235" s="5"/>
    </row>
    <row r="236" spans="1:3" x14ac:dyDescent="0.3">
      <c r="A236" s="5"/>
      <c r="B236" s="5"/>
      <c r="C236" s="5"/>
    </row>
    <row r="237" spans="1:3" x14ac:dyDescent="0.3">
      <c r="A237" s="5"/>
      <c r="B237" s="5"/>
      <c r="C237" s="5"/>
    </row>
    <row r="238" spans="1:3" x14ac:dyDescent="0.3">
      <c r="A238" s="5"/>
      <c r="B238" s="5"/>
      <c r="C238" s="5"/>
    </row>
    <row r="239" spans="1:3" x14ac:dyDescent="0.3">
      <c r="A239" s="5"/>
      <c r="B239" s="5"/>
      <c r="C239" s="5"/>
    </row>
    <row r="240" spans="1:3" x14ac:dyDescent="0.3">
      <c r="A240" s="5"/>
      <c r="B240" s="5"/>
      <c r="C240" s="5"/>
    </row>
    <row r="241" spans="1:3" x14ac:dyDescent="0.3">
      <c r="A241" s="5"/>
      <c r="B241" s="5"/>
      <c r="C241" s="5"/>
    </row>
    <row r="242" spans="1:3" x14ac:dyDescent="0.3">
      <c r="A242" s="5"/>
      <c r="B242" s="5"/>
      <c r="C242" s="5"/>
    </row>
    <row r="243" spans="1:3" x14ac:dyDescent="0.3">
      <c r="A243" s="5"/>
      <c r="B243" s="5"/>
      <c r="C243" s="5"/>
    </row>
    <row r="244" spans="1:3" x14ac:dyDescent="0.3">
      <c r="A244" s="5"/>
      <c r="B244" s="5"/>
      <c r="C244" s="5"/>
    </row>
    <row r="245" spans="1:3" x14ac:dyDescent="0.3">
      <c r="A245" s="5"/>
      <c r="B245" s="5"/>
      <c r="C245" s="5"/>
    </row>
    <row r="246" spans="1:3" x14ac:dyDescent="0.3">
      <c r="A246" s="5"/>
      <c r="B246" s="5"/>
      <c r="C246" s="5"/>
    </row>
    <row r="247" spans="1:3" x14ac:dyDescent="0.3">
      <c r="A247" s="5"/>
      <c r="B247" s="5"/>
      <c r="C247" s="5"/>
    </row>
    <row r="248" spans="1:3" x14ac:dyDescent="0.3">
      <c r="A248" s="5"/>
      <c r="B248" s="5"/>
      <c r="C248" s="5"/>
    </row>
    <row r="249" spans="1:3" x14ac:dyDescent="0.3">
      <c r="A249" s="5"/>
      <c r="B249" s="5"/>
      <c r="C249" s="5"/>
    </row>
    <row r="250" spans="1:3" x14ac:dyDescent="0.3">
      <c r="A250" s="5"/>
      <c r="B250" s="5"/>
      <c r="C250" s="5"/>
    </row>
    <row r="251" spans="1:3" x14ac:dyDescent="0.3">
      <c r="A251" s="5"/>
      <c r="B251" s="5"/>
      <c r="C251" s="5"/>
    </row>
    <row r="252" spans="1:3" x14ac:dyDescent="0.3">
      <c r="A252" s="5"/>
      <c r="B252" s="5"/>
      <c r="C252" s="5"/>
    </row>
    <row r="253" spans="1:3" x14ac:dyDescent="0.3">
      <c r="A253" s="5"/>
      <c r="B253" s="5"/>
      <c r="C253" s="5"/>
    </row>
    <row r="254" spans="1:3" x14ac:dyDescent="0.3">
      <c r="A254" s="5"/>
      <c r="B254" s="5"/>
      <c r="C254" s="5"/>
    </row>
    <row r="255" spans="1:3" x14ac:dyDescent="0.3">
      <c r="A255" s="5"/>
      <c r="B255" s="5"/>
      <c r="C255" s="5"/>
    </row>
    <row r="256" spans="1:3" x14ac:dyDescent="0.3">
      <c r="A256" s="5"/>
      <c r="B256" s="5"/>
      <c r="C256" s="5"/>
    </row>
    <row r="257" spans="1:3" x14ac:dyDescent="0.3">
      <c r="A257" s="5"/>
      <c r="B257" s="5"/>
      <c r="C257" s="5"/>
    </row>
    <row r="258" spans="1:3" x14ac:dyDescent="0.3">
      <c r="A258" s="5"/>
      <c r="B258" s="5"/>
      <c r="C258" s="5"/>
    </row>
    <row r="259" spans="1:3" x14ac:dyDescent="0.3">
      <c r="A259" s="5"/>
      <c r="B259" s="5"/>
      <c r="C259" s="5"/>
    </row>
    <row r="260" spans="1:3" x14ac:dyDescent="0.3">
      <c r="A260" s="5"/>
      <c r="B260" s="5"/>
      <c r="C260" s="5"/>
    </row>
    <row r="261" spans="1:3" x14ac:dyDescent="0.3">
      <c r="A261" s="5"/>
      <c r="B261" s="5"/>
      <c r="C261" s="5"/>
    </row>
    <row r="262" spans="1:3" x14ac:dyDescent="0.3">
      <c r="A262" s="5"/>
      <c r="B262" s="5"/>
      <c r="C262" s="5"/>
    </row>
    <row r="263" spans="1:3" x14ac:dyDescent="0.3">
      <c r="A263" s="5"/>
      <c r="B263" s="5"/>
      <c r="C263" s="5"/>
    </row>
    <row r="264" spans="1:3" x14ac:dyDescent="0.3">
      <c r="A264" s="5"/>
      <c r="B264" s="5"/>
      <c r="C264" s="5"/>
    </row>
    <row r="265" spans="1:3" x14ac:dyDescent="0.3">
      <c r="A265" s="5"/>
      <c r="B265" s="5"/>
      <c r="C265" s="5"/>
    </row>
    <row r="266" spans="1:3" x14ac:dyDescent="0.3">
      <c r="A266" s="5"/>
      <c r="B266" s="5"/>
      <c r="C266" s="5"/>
    </row>
    <row r="267" spans="1:3" x14ac:dyDescent="0.3">
      <c r="A267" s="5"/>
      <c r="B267" s="5"/>
      <c r="C267" s="5"/>
    </row>
    <row r="268" spans="1:3" x14ac:dyDescent="0.3">
      <c r="A268" s="5"/>
      <c r="B268" s="5"/>
      <c r="C268" s="5"/>
    </row>
    <row r="269" spans="1:3" x14ac:dyDescent="0.3">
      <c r="A269" s="5"/>
      <c r="B269" s="5"/>
      <c r="C269" s="5"/>
    </row>
    <row r="270" spans="1:3" x14ac:dyDescent="0.3">
      <c r="A270" s="5"/>
      <c r="B270" s="5"/>
      <c r="C270" s="5"/>
    </row>
    <row r="271" spans="1:3" x14ac:dyDescent="0.3">
      <c r="A271" s="5"/>
      <c r="B271" s="5"/>
      <c r="C271" s="5"/>
    </row>
    <row r="272" spans="1:3" x14ac:dyDescent="0.3">
      <c r="A272" s="5"/>
      <c r="B272" s="5"/>
      <c r="C272" s="5"/>
    </row>
    <row r="273" spans="1:3" x14ac:dyDescent="0.3">
      <c r="A273" s="5"/>
      <c r="B273" s="5"/>
      <c r="C273" s="5"/>
    </row>
    <row r="274" spans="1:3" x14ac:dyDescent="0.3">
      <c r="A274" s="5"/>
      <c r="B274" s="5"/>
      <c r="C274" s="5"/>
    </row>
    <row r="275" spans="1:3" x14ac:dyDescent="0.3">
      <c r="A275" s="5"/>
      <c r="B275" s="5"/>
      <c r="C275" s="5"/>
    </row>
  </sheetData>
  <mergeCells count="3">
    <mergeCell ref="D5:G5"/>
    <mergeCell ref="H5:K5"/>
    <mergeCell ref="L5:O5"/>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1E99C-9A4A-4BC2-90AF-1A1B64A9EDEC}">
  <dimension ref="A1:E49"/>
  <sheetViews>
    <sheetView view="pageBreakPreview" topLeftCell="A31" zoomScaleNormal="100" zoomScaleSheetLayoutView="100" workbookViewId="0">
      <selection activeCell="D1" sqref="D1"/>
    </sheetView>
  </sheetViews>
  <sheetFormatPr defaultRowHeight="13.8" x14ac:dyDescent="0.25"/>
  <cols>
    <col min="1" max="1" width="46.6640625" style="350" bestFit="1" customWidth="1"/>
    <col min="2" max="3" width="10.6640625" style="93" bestFit="1" customWidth="1"/>
    <col min="4" max="4" width="10.6640625" style="92" bestFit="1" customWidth="1"/>
    <col min="5" max="256" width="9.109375" style="55"/>
    <col min="257" max="257" width="43" style="55" customWidth="1"/>
    <col min="258" max="260" width="10.6640625" style="55" bestFit="1" customWidth="1"/>
    <col min="261" max="512" width="9.109375" style="55"/>
    <col min="513" max="513" width="43" style="55" customWidth="1"/>
    <col min="514" max="516" width="10.6640625" style="55" bestFit="1" customWidth="1"/>
    <col min="517" max="768" width="9.109375" style="55"/>
    <col min="769" max="769" width="43" style="55" customWidth="1"/>
    <col min="770" max="772" width="10.6640625" style="55" bestFit="1" customWidth="1"/>
    <col min="773" max="1024" width="9.109375" style="55"/>
    <col min="1025" max="1025" width="43" style="55" customWidth="1"/>
    <col min="1026" max="1028" width="10.6640625" style="55" bestFit="1" customWidth="1"/>
    <col min="1029" max="1280" width="9.109375" style="55"/>
    <col min="1281" max="1281" width="43" style="55" customWidth="1"/>
    <col min="1282" max="1284" width="10.6640625" style="55" bestFit="1" customWidth="1"/>
    <col min="1285" max="1536" width="9.109375" style="55"/>
    <col min="1537" max="1537" width="43" style="55" customWidth="1"/>
    <col min="1538" max="1540" width="10.6640625" style="55" bestFit="1" customWidth="1"/>
    <col min="1541" max="1792" width="9.109375" style="55"/>
    <col min="1793" max="1793" width="43" style="55" customWidth="1"/>
    <col min="1794" max="1796" width="10.6640625" style="55" bestFit="1" customWidth="1"/>
    <col min="1797" max="2048" width="9.109375" style="55"/>
    <col min="2049" max="2049" width="43" style="55" customWidth="1"/>
    <col min="2050" max="2052" width="10.6640625" style="55" bestFit="1" customWidth="1"/>
    <col min="2053" max="2304" width="9.109375" style="55"/>
    <col min="2305" max="2305" width="43" style="55" customWidth="1"/>
    <col min="2306" max="2308" width="10.6640625" style="55" bestFit="1" customWidth="1"/>
    <col min="2309" max="2560" width="9.109375" style="55"/>
    <col min="2561" max="2561" width="43" style="55" customWidth="1"/>
    <col min="2562" max="2564" width="10.6640625" style="55" bestFit="1" customWidth="1"/>
    <col min="2565" max="2816" width="9.109375" style="55"/>
    <col min="2817" max="2817" width="43" style="55" customWidth="1"/>
    <col min="2818" max="2820" width="10.6640625" style="55" bestFit="1" customWidth="1"/>
    <col min="2821" max="3072" width="9.109375" style="55"/>
    <col min="3073" max="3073" width="43" style="55" customWidth="1"/>
    <col min="3074" max="3076" width="10.6640625" style="55" bestFit="1" customWidth="1"/>
    <col min="3077" max="3328" width="9.109375" style="55"/>
    <col min="3329" max="3329" width="43" style="55" customWidth="1"/>
    <col min="3330" max="3332" width="10.6640625" style="55" bestFit="1" customWidth="1"/>
    <col min="3333" max="3584" width="9.109375" style="55"/>
    <col min="3585" max="3585" width="43" style="55" customWidth="1"/>
    <col min="3586" max="3588" width="10.6640625" style="55" bestFit="1" customWidth="1"/>
    <col min="3589" max="3840" width="9.109375" style="55"/>
    <col min="3841" max="3841" width="43" style="55" customWidth="1"/>
    <col min="3842" max="3844" width="10.6640625" style="55" bestFit="1" customWidth="1"/>
    <col min="3845" max="4096" width="9.109375" style="55"/>
    <col min="4097" max="4097" width="43" style="55" customWidth="1"/>
    <col min="4098" max="4100" width="10.6640625" style="55" bestFit="1" customWidth="1"/>
    <col min="4101" max="4352" width="9.109375" style="55"/>
    <col min="4353" max="4353" width="43" style="55" customWidth="1"/>
    <col min="4354" max="4356" width="10.6640625" style="55" bestFit="1" customWidth="1"/>
    <col min="4357" max="4608" width="9.109375" style="55"/>
    <col min="4609" max="4609" width="43" style="55" customWidth="1"/>
    <col min="4610" max="4612" width="10.6640625" style="55" bestFit="1" customWidth="1"/>
    <col min="4613" max="4864" width="9.109375" style="55"/>
    <col min="4865" max="4865" width="43" style="55" customWidth="1"/>
    <col min="4866" max="4868" width="10.6640625" style="55" bestFit="1" customWidth="1"/>
    <col min="4869" max="5120" width="9.109375" style="55"/>
    <col min="5121" max="5121" width="43" style="55" customWidth="1"/>
    <col min="5122" max="5124" width="10.6640625" style="55" bestFit="1" customWidth="1"/>
    <col min="5125" max="5376" width="9.109375" style="55"/>
    <col min="5377" max="5377" width="43" style="55" customWidth="1"/>
    <col min="5378" max="5380" width="10.6640625" style="55" bestFit="1" customWidth="1"/>
    <col min="5381" max="5632" width="9.109375" style="55"/>
    <col min="5633" max="5633" width="43" style="55" customWidth="1"/>
    <col min="5634" max="5636" width="10.6640625" style="55" bestFit="1" customWidth="1"/>
    <col min="5637" max="5888" width="9.109375" style="55"/>
    <col min="5889" max="5889" width="43" style="55" customWidth="1"/>
    <col min="5890" max="5892" width="10.6640625" style="55" bestFit="1" customWidth="1"/>
    <col min="5893" max="6144" width="9.109375" style="55"/>
    <col min="6145" max="6145" width="43" style="55" customWidth="1"/>
    <col min="6146" max="6148" width="10.6640625" style="55" bestFit="1" customWidth="1"/>
    <col min="6149" max="6400" width="9.109375" style="55"/>
    <col min="6401" max="6401" width="43" style="55" customWidth="1"/>
    <col min="6402" max="6404" width="10.6640625" style="55" bestFit="1" customWidth="1"/>
    <col min="6405" max="6656" width="9.109375" style="55"/>
    <col min="6657" max="6657" width="43" style="55" customWidth="1"/>
    <col min="6658" max="6660" width="10.6640625" style="55" bestFit="1" customWidth="1"/>
    <col min="6661" max="6912" width="9.109375" style="55"/>
    <col min="6913" max="6913" width="43" style="55" customWidth="1"/>
    <col min="6914" max="6916" width="10.6640625" style="55" bestFit="1" customWidth="1"/>
    <col min="6917" max="7168" width="9.109375" style="55"/>
    <col min="7169" max="7169" width="43" style="55" customWidth="1"/>
    <col min="7170" max="7172" width="10.6640625" style="55" bestFit="1" customWidth="1"/>
    <col min="7173" max="7424" width="9.109375" style="55"/>
    <col min="7425" max="7425" width="43" style="55" customWidth="1"/>
    <col min="7426" max="7428" width="10.6640625" style="55" bestFit="1" customWidth="1"/>
    <col min="7429" max="7680" width="9.109375" style="55"/>
    <col min="7681" max="7681" width="43" style="55" customWidth="1"/>
    <col min="7682" max="7684" width="10.6640625" style="55" bestFit="1" customWidth="1"/>
    <col min="7685" max="7936" width="9.109375" style="55"/>
    <col min="7937" max="7937" width="43" style="55" customWidth="1"/>
    <col min="7938" max="7940" width="10.6640625" style="55" bestFit="1" customWidth="1"/>
    <col min="7941" max="8192" width="9.109375" style="55"/>
    <col min="8193" max="8193" width="43" style="55" customWidth="1"/>
    <col min="8194" max="8196" width="10.6640625" style="55" bestFit="1" customWidth="1"/>
    <col min="8197" max="8448" width="9.109375" style="55"/>
    <col min="8449" max="8449" width="43" style="55" customWidth="1"/>
    <col min="8450" max="8452" width="10.6640625" style="55" bestFit="1" customWidth="1"/>
    <col min="8453" max="8704" width="9.109375" style="55"/>
    <col min="8705" max="8705" width="43" style="55" customWidth="1"/>
    <col min="8706" max="8708" width="10.6640625" style="55" bestFit="1" customWidth="1"/>
    <col min="8709" max="8960" width="9.109375" style="55"/>
    <col min="8961" max="8961" width="43" style="55" customWidth="1"/>
    <col min="8962" max="8964" width="10.6640625" style="55" bestFit="1" customWidth="1"/>
    <col min="8965" max="9216" width="9.109375" style="55"/>
    <col min="9217" max="9217" width="43" style="55" customWidth="1"/>
    <col min="9218" max="9220" width="10.6640625" style="55" bestFit="1" customWidth="1"/>
    <col min="9221" max="9472" width="9.109375" style="55"/>
    <col min="9473" max="9473" width="43" style="55" customWidth="1"/>
    <col min="9474" max="9476" width="10.6640625" style="55" bestFit="1" customWidth="1"/>
    <col min="9477" max="9728" width="9.109375" style="55"/>
    <col min="9729" max="9729" width="43" style="55" customWidth="1"/>
    <col min="9730" max="9732" width="10.6640625" style="55" bestFit="1" customWidth="1"/>
    <col min="9733" max="9984" width="9.109375" style="55"/>
    <col min="9985" max="9985" width="43" style="55" customWidth="1"/>
    <col min="9986" max="9988" width="10.6640625" style="55" bestFit="1" customWidth="1"/>
    <col min="9989" max="10240" width="9.109375" style="55"/>
    <col min="10241" max="10241" width="43" style="55" customWidth="1"/>
    <col min="10242" max="10244" width="10.6640625" style="55" bestFit="1" customWidth="1"/>
    <col min="10245" max="10496" width="9.109375" style="55"/>
    <col min="10497" max="10497" width="43" style="55" customWidth="1"/>
    <col min="10498" max="10500" width="10.6640625" style="55" bestFit="1" customWidth="1"/>
    <col min="10501" max="10752" width="9.109375" style="55"/>
    <col min="10753" max="10753" width="43" style="55" customWidth="1"/>
    <col min="10754" max="10756" width="10.6640625" style="55" bestFit="1" customWidth="1"/>
    <col min="10757" max="11008" width="9.109375" style="55"/>
    <col min="11009" max="11009" width="43" style="55" customWidth="1"/>
    <col min="11010" max="11012" width="10.6640625" style="55" bestFit="1" customWidth="1"/>
    <col min="11013" max="11264" width="9.109375" style="55"/>
    <col min="11265" max="11265" width="43" style="55" customWidth="1"/>
    <col min="11266" max="11268" width="10.6640625" style="55" bestFit="1" customWidth="1"/>
    <col min="11269" max="11520" width="9.109375" style="55"/>
    <col min="11521" max="11521" width="43" style="55" customWidth="1"/>
    <col min="11522" max="11524" width="10.6640625" style="55" bestFit="1" customWidth="1"/>
    <col min="11525" max="11776" width="9.109375" style="55"/>
    <col min="11777" max="11777" width="43" style="55" customWidth="1"/>
    <col min="11778" max="11780" width="10.6640625" style="55" bestFit="1" customWidth="1"/>
    <col min="11781" max="12032" width="9.109375" style="55"/>
    <col min="12033" max="12033" width="43" style="55" customWidth="1"/>
    <col min="12034" max="12036" width="10.6640625" style="55" bestFit="1" customWidth="1"/>
    <col min="12037" max="12288" width="9.109375" style="55"/>
    <col min="12289" max="12289" width="43" style="55" customWidth="1"/>
    <col min="12290" max="12292" width="10.6640625" style="55" bestFit="1" customWidth="1"/>
    <col min="12293" max="12544" width="9.109375" style="55"/>
    <col min="12545" max="12545" width="43" style="55" customWidth="1"/>
    <col min="12546" max="12548" width="10.6640625" style="55" bestFit="1" customWidth="1"/>
    <col min="12549" max="12800" width="9.109375" style="55"/>
    <col min="12801" max="12801" width="43" style="55" customWidth="1"/>
    <col min="12802" max="12804" width="10.6640625" style="55" bestFit="1" customWidth="1"/>
    <col min="12805" max="13056" width="9.109375" style="55"/>
    <col min="13057" max="13057" width="43" style="55" customWidth="1"/>
    <col min="13058" max="13060" width="10.6640625" style="55" bestFit="1" customWidth="1"/>
    <col min="13061" max="13312" width="9.109375" style="55"/>
    <col min="13313" max="13313" width="43" style="55" customWidth="1"/>
    <col min="13314" max="13316" width="10.6640625" style="55" bestFit="1" customWidth="1"/>
    <col min="13317" max="13568" width="9.109375" style="55"/>
    <col min="13569" max="13569" width="43" style="55" customWidth="1"/>
    <col min="13570" max="13572" width="10.6640625" style="55" bestFit="1" customWidth="1"/>
    <col min="13573" max="13824" width="9.109375" style="55"/>
    <col min="13825" max="13825" width="43" style="55" customWidth="1"/>
    <col min="13826" max="13828" width="10.6640625" style="55" bestFit="1" customWidth="1"/>
    <col min="13829" max="14080" width="9.109375" style="55"/>
    <col min="14081" max="14081" width="43" style="55" customWidth="1"/>
    <col min="14082" max="14084" width="10.6640625" style="55" bestFit="1" customWidth="1"/>
    <col min="14085" max="14336" width="9.109375" style="55"/>
    <col min="14337" max="14337" width="43" style="55" customWidth="1"/>
    <col min="14338" max="14340" width="10.6640625" style="55" bestFit="1" customWidth="1"/>
    <col min="14341" max="14592" width="9.109375" style="55"/>
    <col min="14593" max="14593" width="43" style="55" customWidth="1"/>
    <col min="14594" max="14596" width="10.6640625" style="55" bestFit="1" customWidth="1"/>
    <col min="14597" max="14848" width="9.109375" style="55"/>
    <col min="14849" max="14849" width="43" style="55" customWidth="1"/>
    <col min="14850" max="14852" width="10.6640625" style="55" bestFit="1" customWidth="1"/>
    <col min="14853" max="15104" width="9.109375" style="55"/>
    <col min="15105" max="15105" width="43" style="55" customWidth="1"/>
    <col min="15106" max="15108" width="10.6640625" style="55" bestFit="1" customWidth="1"/>
    <col min="15109" max="15360" width="9.109375" style="55"/>
    <col min="15361" max="15361" width="43" style="55" customWidth="1"/>
    <col min="15362" max="15364" width="10.6640625" style="55" bestFit="1" customWidth="1"/>
    <col min="15365" max="15616" width="9.109375" style="55"/>
    <col min="15617" max="15617" width="43" style="55" customWidth="1"/>
    <col min="15618" max="15620" width="10.6640625" style="55" bestFit="1" customWidth="1"/>
    <col min="15621" max="15872" width="9.109375" style="55"/>
    <col min="15873" max="15873" width="43" style="55" customWidth="1"/>
    <col min="15874" max="15876" width="10.6640625" style="55" bestFit="1" customWidth="1"/>
    <col min="15877" max="16128" width="9.109375" style="55"/>
    <col min="16129" max="16129" width="43" style="55" customWidth="1"/>
    <col min="16130" max="16132" width="10.6640625" style="55" bestFit="1" customWidth="1"/>
    <col min="16133" max="16384" width="9.109375" style="55"/>
  </cols>
  <sheetData>
    <row r="1" spans="1:5" x14ac:dyDescent="0.25">
      <c r="A1" s="93"/>
      <c r="D1" s="349" t="s">
        <v>1028</v>
      </c>
    </row>
    <row r="2" spans="1:5" x14ac:dyDescent="0.25">
      <c r="A2" s="94"/>
      <c r="B2" s="9"/>
      <c r="C2" s="9"/>
      <c r="D2" s="9"/>
    </row>
    <row r="3" spans="1:5" ht="15" customHeight="1" x14ac:dyDescent="0.25">
      <c r="A3" s="411" t="s">
        <v>213</v>
      </c>
      <c r="B3" s="411"/>
      <c r="C3" s="411"/>
    </row>
    <row r="4" spans="1:5" x14ac:dyDescent="0.25">
      <c r="C4" s="94"/>
      <c r="D4" s="94" t="s">
        <v>25</v>
      </c>
    </row>
    <row r="5" spans="1:5" x14ac:dyDescent="0.25">
      <c r="A5" s="63" t="s">
        <v>150</v>
      </c>
      <c r="B5" s="95" t="s">
        <v>578</v>
      </c>
      <c r="C5" s="96" t="s">
        <v>705</v>
      </c>
      <c r="D5" s="96" t="s">
        <v>981</v>
      </c>
    </row>
    <row r="6" spans="1:5" x14ac:dyDescent="0.25">
      <c r="A6" s="59" t="s">
        <v>104</v>
      </c>
      <c r="B6" s="57">
        <v>600000</v>
      </c>
      <c r="C6" s="57">
        <v>610000</v>
      </c>
      <c r="D6" s="57">
        <v>620000</v>
      </c>
    </row>
    <row r="7" spans="1:5" x14ac:dyDescent="0.25">
      <c r="A7" s="351" t="s">
        <v>214</v>
      </c>
      <c r="B7" s="57">
        <v>801000</v>
      </c>
      <c r="C7" s="57">
        <v>801000</v>
      </c>
      <c r="D7" s="57">
        <v>801000</v>
      </c>
    </row>
    <row r="8" spans="1:5" x14ac:dyDescent="0.25">
      <c r="A8" s="59" t="s">
        <v>215</v>
      </c>
      <c r="B8" s="57">
        <v>0</v>
      </c>
      <c r="C8" s="57">
        <v>0</v>
      </c>
      <c r="D8" s="57">
        <v>0</v>
      </c>
    </row>
    <row r="9" spans="1:5" x14ac:dyDescent="0.25">
      <c r="A9" s="59" t="s">
        <v>216</v>
      </c>
      <c r="B9" s="57">
        <v>0</v>
      </c>
      <c r="C9" s="57">
        <v>0</v>
      </c>
      <c r="D9" s="57">
        <v>0</v>
      </c>
    </row>
    <row r="10" spans="1:5" x14ac:dyDescent="0.25">
      <c r="A10" s="59" t="s">
        <v>217</v>
      </c>
      <c r="B10" s="57">
        <v>15000</v>
      </c>
      <c r="C10" s="57">
        <v>16000</v>
      </c>
      <c r="D10" s="57">
        <v>16000</v>
      </c>
    </row>
    <row r="11" spans="1:5" x14ac:dyDescent="0.25">
      <c r="A11" s="59" t="s">
        <v>106</v>
      </c>
      <c r="B11" s="57">
        <v>1800000</v>
      </c>
      <c r="C11" s="57">
        <v>1890000</v>
      </c>
      <c r="D11" s="57">
        <v>1985000</v>
      </c>
    </row>
    <row r="12" spans="1:5" x14ac:dyDescent="0.25">
      <c r="A12" s="59" t="s">
        <v>560</v>
      </c>
      <c r="B12" s="57">
        <v>150000</v>
      </c>
      <c r="C12" s="57">
        <v>157500</v>
      </c>
      <c r="D12" s="57">
        <v>165375</v>
      </c>
      <c r="E12" s="296"/>
    </row>
    <row r="13" spans="1:5" x14ac:dyDescent="0.25">
      <c r="A13" s="59" t="s">
        <v>862</v>
      </c>
      <c r="B13" s="57">
        <v>100</v>
      </c>
      <c r="C13" s="57">
        <v>100</v>
      </c>
      <c r="D13" s="57">
        <v>100</v>
      </c>
      <c r="E13" s="296"/>
    </row>
    <row r="14" spans="1:5" x14ac:dyDescent="0.25">
      <c r="A14" s="352" t="s">
        <v>110</v>
      </c>
      <c r="B14" s="57">
        <v>0</v>
      </c>
      <c r="C14" s="57">
        <v>0</v>
      </c>
      <c r="D14" s="57">
        <v>0</v>
      </c>
      <c r="E14" s="296"/>
    </row>
    <row r="15" spans="1:5" x14ac:dyDescent="0.25">
      <c r="A15" s="59" t="s">
        <v>109</v>
      </c>
      <c r="B15" s="57">
        <v>55000</v>
      </c>
      <c r="C15" s="57">
        <v>60000</v>
      </c>
      <c r="D15" s="57">
        <v>65000</v>
      </c>
    </row>
    <row r="16" spans="1:5" x14ac:dyDescent="0.25">
      <c r="A16" s="59" t="s">
        <v>218</v>
      </c>
      <c r="B16" s="57">
        <v>2000</v>
      </c>
      <c r="C16" s="57">
        <v>2000</v>
      </c>
      <c r="D16" s="57">
        <v>2000</v>
      </c>
    </row>
    <row r="17" spans="1:5" x14ac:dyDescent="0.25">
      <c r="A17" s="60" t="s">
        <v>219</v>
      </c>
      <c r="B17" s="58">
        <f>SUM(B6:B16)</f>
        <v>3423100</v>
      </c>
      <c r="C17" s="58">
        <f>SUM(C6:C16)</f>
        <v>3536600</v>
      </c>
      <c r="D17" s="58">
        <f>SUM(D6:D16)</f>
        <v>3654475</v>
      </c>
    </row>
    <row r="18" spans="1:5" x14ac:dyDescent="0.25">
      <c r="A18" s="59" t="s">
        <v>220</v>
      </c>
      <c r="B18" s="57">
        <v>0</v>
      </c>
      <c r="C18" s="57">
        <v>0</v>
      </c>
      <c r="D18" s="57">
        <v>0</v>
      </c>
    </row>
    <row r="19" spans="1:5" x14ac:dyDescent="0.25">
      <c r="A19" s="59" t="s">
        <v>66</v>
      </c>
      <c r="B19" s="57">
        <v>290000</v>
      </c>
      <c r="C19" s="57">
        <v>300000</v>
      </c>
      <c r="D19" s="57">
        <v>305000</v>
      </c>
      <c r="E19" s="296"/>
    </row>
    <row r="20" spans="1:5" x14ac:dyDescent="0.25">
      <c r="A20" s="59" t="s">
        <v>116</v>
      </c>
      <c r="B20" s="57">
        <v>80000</v>
      </c>
      <c r="C20" s="57">
        <v>85000</v>
      </c>
      <c r="D20" s="57">
        <v>88000</v>
      </c>
      <c r="E20" s="296"/>
    </row>
    <row r="21" spans="1:5" x14ac:dyDescent="0.25">
      <c r="A21" s="59" t="s">
        <v>221</v>
      </c>
      <c r="B21" s="57">
        <v>14000</v>
      </c>
      <c r="C21" s="57">
        <v>14700</v>
      </c>
      <c r="D21" s="57">
        <v>15000</v>
      </c>
    </row>
    <row r="22" spans="1:5" x14ac:dyDescent="0.25">
      <c r="A22" s="59" t="s">
        <v>222</v>
      </c>
      <c r="B22" s="57">
        <v>4000</v>
      </c>
      <c r="C22" s="57">
        <v>4000</v>
      </c>
      <c r="D22" s="57">
        <v>4000</v>
      </c>
    </row>
    <row r="23" spans="1:5" x14ac:dyDescent="0.25">
      <c r="A23" s="59" t="s">
        <v>223</v>
      </c>
      <c r="B23" s="57">
        <v>0</v>
      </c>
      <c r="C23" s="57">
        <v>0</v>
      </c>
      <c r="D23" s="57">
        <v>0</v>
      </c>
    </row>
    <row r="24" spans="1:5" x14ac:dyDescent="0.25">
      <c r="A24" s="59" t="s">
        <v>118</v>
      </c>
      <c r="B24" s="57">
        <v>150000</v>
      </c>
      <c r="C24" s="57">
        <v>100000</v>
      </c>
      <c r="D24" s="57">
        <v>100000</v>
      </c>
    </row>
    <row r="25" spans="1:5" x14ac:dyDescent="0.25">
      <c r="A25" s="60" t="s">
        <v>224</v>
      </c>
      <c r="B25" s="58">
        <f>SUM(B18:B24)</f>
        <v>538000</v>
      </c>
      <c r="C25" s="58">
        <f>SUM(C18:C24)</f>
        <v>503700</v>
      </c>
      <c r="D25" s="58">
        <f>SUM(D18:D24)</f>
        <v>512000</v>
      </c>
    </row>
    <row r="26" spans="1:5" ht="13.5" customHeight="1" x14ac:dyDescent="0.25">
      <c r="A26" s="61" t="s">
        <v>225</v>
      </c>
      <c r="B26" s="62">
        <f>B17+B25</f>
        <v>3961100</v>
      </c>
      <c r="C26" s="62">
        <f>C17+C25</f>
        <v>4040300</v>
      </c>
      <c r="D26" s="62">
        <f>D17+D25</f>
        <v>4166475</v>
      </c>
    </row>
    <row r="27" spans="1:5" ht="13.5" customHeight="1" x14ac:dyDescent="0.25">
      <c r="A27" s="61"/>
      <c r="B27" s="62"/>
      <c r="C27" s="62"/>
      <c r="D27" s="62"/>
    </row>
    <row r="28" spans="1:5" x14ac:dyDescent="0.25">
      <c r="A28" s="63" t="s">
        <v>170</v>
      </c>
      <c r="B28" s="95" t="s">
        <v>578</v>
      </c>
      <c r="C28" s="96" t="s">
        <v>705</v>
      </c>
      <c r="D28" s="96" t="s">
        <v>981</v>
      </c>
    </row>
    <row r="29" spans="1:5" x14ac:dyDescent="0.25">
      <c r="A29" s="59" t="s">
        <v>22</v>
      </c>
      <c r="B29" s="57">
        <v>1050000</v>
      </c>
      <c r="C29" s="57">
        <v>1102000</v>
      </c>
      <c r="D29" s="57">
        <v>1157000</v>
      </c>
    </row>
    <row r="30" spans="1:5" ht="27.6" x14ac:dyDescent="0.25">
      <c r="A30" s="351" t="s">
        <v>77</v>
      </c>
      <c r="B30" s="57">
        <v>136000</v>
      </c>
      <c r="C30" s="57">
        <v>143000</v>
      </c>
      <c r="D30" s="57">
        <v>150000</v>
      </c>
    </row>
    <row r="31" spans="1:5" x14ac:dyDescent="0.25">
      <c r="A31" s="59" t="s">
        <v>27</v>
      </c>
      <c r="B31" s="57">
        <v>1705000</v>
      </c>
      <c r="C31" s="57">
        <v>1720000</v>
      </c>
      <c r="D31" s="57">
        <v>1750000</v>
      </c>
    </row>
    <row r="32" spans="1:5" x14ac:dyDescent="0.25">
      <c r="A32" s="59" t="s">
        <v>226</v>
      </c>
      <c r="B32" s="57">
        <v>485000</v>
      </c>
      <c r="C32" s="57">
        <v>490000</v>
      </c>
      <c r="D32" s="57">
        <v>495961</v>
      </c>
    </row>
    <row r="33" spans="1:5" x14ac:dyDescent="0.25">
      <c r="A33" s="59" t="s">
        <v>227</v>
      </c>
      <c r="B33" s="57">
        <v>20000</v>
      </c>
      <c r="C33" s="57">
        <v>21000</v>
      </c>
      <c r="D33" s="57">
        <v>22000</v>
      </c>
      <c r="E33" s="296"/>
    </row>
    <row r="34" spans="1:5" x14ac:dyDescent="0.25">
      <c r="A34" s="59" t="s">
        <v>228</v>
      </c>
      <c r="B34" s="57">
        <v>0</v>
      </c>
      <c r="C34" s="57">
        <v>0</v>
      </c>
      <c r="D34" s="57">
        <v>0</v>
      </c>
      <c r="E34" s="296"/>
    </row>
    <row r="35" spans="1:5" x14ac:dyDescent="0.25">
      <c r="A35" s="59" t="s">
        <v>229</v>
      </c>
      <c r="B35" s="57">
        <v>1000</v>
      </c>
      <c r="C35" s="57">
        <v>1000</v>
      </c>
      <c r="D35" s="57">
        <v>1000</v>
      </c>
    </row>
    <row r="36" spans="1:5" x14ac:dyDescent="0.25">
      <c r="A36" s="59" t="s">
        <v>111</v>
      </c>
      <c r="B36" s="57">
        <v>0</v>
      </c>
      <c r="C36" s="57">
        <v>0</v>
      </c>
      <c r="D36" s="57">
        <v>0</v>
      </c>
    </row>
    <row r="37" spans="1:5" x14ac:dyDescent="0.25">
      <c r="A37" s="59" t="s">
        <v>230</v>
      </c>
      <c r="B37" s="57">
        <v>5000</v>
      </c>
      <c r="C37" s="57">
        <v>5000</v>
      </c>
      <c r="D37" s="57">
        <v>5000</v>
      </c>
    </row>
    <row r="38" spans="1:5" x14ac:dyDescent="0.25">
      <c r="A38" s="60" t="s">
        <v>231</v>
      </c>
      <c r="B38" s="58">
        <f>SUM(B29:B37)</f>
        <v>3402000</v>
      </c>
      <c r="C38" s="58">
        <f>SUM(C29:C37)</f>
        <v>3482000</v>
      </c>
      <c r="D38" s="58">
        <f>SUM(D29:D37)</f>
        <v>3580961</v>
      </c>
    </row>
    <row r="39" spans="1:5" x14ac:dyDescent="0.25">
      <c r="A39" s="59" t="s">
        <v>232</v>
      </c>
      <c r="B39" s="57">
        <v>160000</v>
      </c>
      <c r="C39" s="57">
        <v>165000</v>
      </c>
      <c r="D39" s="57">
        <v>165000</v>
      </c>
    </row>
    <row r="40" spans="1:5" x14ac:dyDescent="0.25">
      <c r="A40" s="59" t="s">
        <v>50</v>
      </c>
      <c r="B40" s="57">
        <v>319182</v>
      </c>
      <c r="C40" s="57">
        <v>314193</v>
      </c>
      <c r="D40" s="57">
        <v>342568</v>
      </c>
    </row>
    <row r="41" spans="1:5" x14ac:dyDescent="0.25">
      <c r="A41" s="59" t="s">
        <v>233</v>
      </c>
      <c r="B41" s="57">
        <v>7000</v>
      </c>
      <c r="C41" s="57">
        <v>7350</v>
      </c>
      <c r="D41" s="57">
        <v>7350</v>
      </c>
    </row>
    <row r="42" spans="1:5" x14ac:dyDescent="0.25">
      <c r="A42" s="59" t="s">
        <v>234</v>
      </c>
      <c r="B42" s="57">
        <v>26389</v>
      </c>
      <c r="C42" s="57">
        <v>26389</v>
      </c>
      <c r="D42" s="57">
        <v>26389</v>
      </c>
    </row>
    <row r="43" spans="1:5" x14ac:dyDescent="0.25">
      <c r="A43" s="59" t="s">
        <v>235</v>
      </c>
      <c r="B43" s="57">
        <v>6529</v>
      </c>
      <c r="C43" s="57">
        <v>5368</v>
      </c>
      <c r="D43" s="57">
        <v>4207</v>
      </c>
    </row>
    <row r="44" spans="1:5" x14ac:dyDescent="0.25">
      <c r="A44" s="59" t="s">
        <v>236</v>
      </c>
      <c r="B44" s="57">
        <v>0</v>
      </c>
      <c r="C44" s="57">
        <v>0</v>
      </c>
      <c r="D44" s="57">
        <v>0</v>
      </c>
    </row>
    <row r="45" spans="1:5" x14ac:dyDescent="0.25">
      <c r="A45" s="59" t="s">
        <v>237</v>
      </c>
      <c r="B45" s="57">
        <v>40000</v>
      </c>
      <c r="C45" s="57">
        <v>40000</v>
      </c>
      <c r="D45" s="57">
        <v>40000</v>
      </c>
    </row>
    <row r="46" spans="1:5" x14ac:dyDescent="0.25">
      <c r="A46" s="60" t="s">
        <v>238</v>
      </c>
      <c r="B46" s="58">
        <f>SUM(B39:B45)</f>
        <v>559100</v>
      </c>
      <c r="C46" s="58">
        <f>SUM(C39:C45)</f>
        <v>558300</v>
      </c>
      <c r="D46" s="58">
        <f>SUM(D39:D45)</f>
        <v>585514</v>
      </c>
    </row>
    <row r="47" spans="1:5" x14ac:dyDescent="0.25">
      <c r="A47" s="61" t="s">
        <v>178</v>
      </c>
      <c r="B47" s="62">
        <f>B38+B46</f>
        <v>3961100</v>
      </c>
      <c r="C47" s="62">
        <f>C38+C46</f>
        <v>4040300</v>
      </c>
      <c r="D47" s="62">
        <f>D38+D46</f>
        <v>4166475</v>
      </c>
    </row>
    <row r="48" spans="1:5" s="56" customFormat="1" x14ac:dyDescent="0.25">
      <c r="A48" s="350"/>
      <c r="B48" s="93"/>
      <c r="C48" s="93"/>
      <c r="D48" s="92"/>
    </row>
    <row r="49" spans="1:4" s="56" customFormat="1" x14ac:dyDescent="0.25">
      <c r="A49" s="350"/>
      <c r="B49" s="93"/>
      <c r="C49" s="93"/>
      <c r="D49" s="92"/>
    </row>
  </sheetData>
  <mergeCells count="1">
    <mergeCell ref="A3:C3"/>
  </mergeCells>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8"/>
  <sheetViews>
    <sheetView topLeftCell="A43" zoomScaleNormal="100" workbookViewId="0">
      <selection sqref="A1:C1"/>
    </sheetView>
  </sheetViews>
  <sheetFormatPr defaultRowHeight="13.2" x14ac:dyDescent="0.25"/>
  <cols>
    <col min="1" max="1" width="64.88671875" style="9" customWidth="1"/>
    <col min="2" max="2" width="58.33203125" style="9" customWidth="1"/>
    <col min="3" max="3" width="33.109375" style="9" customWidth="1"/>
    <col min="4" max="10" width="9.109375" style="9"/>
    <col min="11" max="256" width="9.109375" style="10"/>
    <col min="257" max="257" width="64.88671875" style="10" customWidth="1"/>
    <col min="258" max="258" width="58.33203125" style="10" customWidth="1"/>
    <col min="259" max="259" width="33.109375" style="10" customWidth="1"/>
    <col min="260" max="512" width="9.109375" style="10"/>
    <col min="513" max="513" width="64.88671875" style="10" customWidth="1"/>
    <col min="514" max="514" width="58.33203125" style="10" customWidth="1"/>
    <col min="515" max="515" width="33.109375" style="10" customWidth="1"/>
    <col min="516" max="768" width="9.109375" style="10"/>
    <col min="769" max="769" width="64.88671875" style="10" customWidth="1"/>
    <col min="770" max="770" width="58.33203125" style="10" customWidth="1"/>
    <col min="771" max="771" width="33.109375" style="10" customWidth="1"/>
    <col min="772" max="1024" width="9.109375" style="10"/>
    <col min="1025" max="1025" width="64.88671875" style="10" customWidth="1"/>
    <col min="1026" max="1026" width="58.33203125" style="10" customWidth="1"/>
    <col min="1027" max="1027" width="33.109375" style="10" customWidth="1"/>
    <col min="1028" max="1280" width="9.109375" style="10"/>
    <col min="1281" max="1281" width="64.88671875" style="10" customWidth="1"/>
    <col min="1282" max="1282" width="58.33203125" style="10" customWidth="1"/>
    <col min="1283" max="1283" width="33.109375" style="10" customWidth="1"/>
    <col min="1284" max="1536" width="9.109375" style="10"/>
    <col min="1537" max="1537" width="64.88671875" style="10" customWidth="1"/>
    <col min="1538" max="1538" width="58.33203125" style="10" customWidth="1"/>
    <col min="1539" max="1539" width="33.109375" style="10" customWidth="1"/>
    <col min="1540" max="1792" width="9.109375" style="10"/>
    <col min="1793" max="1793" width="64.88671875" style="10" customWidth="1"/>
    <col min="1794" max="1794" width="58.33203125" style="10" customWidth="1"/>
    <col min="1795" max="1795" width="33.109375" style="10" customWidth="1"/>
    <col min="1796" max="2048" width="9.109375" style="10"/>
    <col min="2049" max="2049" width="64.88671875" style="10" customWidth="1"/>
    <col min="2050" max="2050" width="58.33203125" style="10" customWidth="1"/>
    <col min="2051" max="2051" width="33.109375" style="10" customWidth="1"/>
    <col min="2052" max="2304" width="9.109375" style="10"/>
    <col min="2305" max="2305" width="64.88671875" style="10" customWidth="1"/>
    <col min="2306" max="2306" width="58.33203125" style="10" customWidth="1"/>
    <col min="2307" max="2307" width="33.109375" style="10" customWidth="1"/>
    <col min="2308" max="2560" width="9.109375" style="10"/>
    <col min="2561" max="2561" width="64.88671875" style="10" customWidth="1"/>
    <col min="2562" max="2562" width="58.33203125" style="10" customWidth="1"/>
    <col min="2563" max="2563" width="33.109375" style="10" customWidth="1"/>
    <col min="2564" max="2816" width="9.109375" style="10"/>
    <col min="2817" max="2817" width="64.88671875" style="10" customWidth="1"/>
    <col min="2818" max="2818" width="58.33203125" style="10" customWidth="1"/>
    <col min="2819" max="2819" width="33.109375" style="10" customWidth="1"/>
    <col min="2820" max="3072" width="9.109375" style="10"/>
    <col min="3073" max="3073" width="64.88671875" style="10" customWidth="1"/>
    <col min="3074" max="3074" width="58.33203125" style="10" customWidth="1"/>
    <col min="3075" max="3075" width="33.109375" style="10" customWidth="1"/>
    <col min="3076" max="3328" width="9.109375" style="10"/>
    <col min="3329" max="3329" width="64.88671875" style="10" customWidth="1"/>
    <col min="3330" max="3330" width="58.33203125" style="10" customWidth="1"/>
    <col min="3331" max="3331" width="33.109375" style="10" customWidth="1"/>
    <col min="3332" max="3584" width="9.109375" style="10"/>
    <col min="3585" max="3585" width="64.88671875" style="10" customWidth="1"/>
    <col min="3586" max="3586" width="58.33203125" style="10" customWidth="1"/>
    <col min="3587" max="3587" width="33.109375" style="10" customWidth="1"/>
    <col min="3588" max="3840" width="9.109375" style="10"/>
    <col min="3841" max="3841" width="64.88671875" style="10" customWidth="1"/>
    <col min="3842" max="3842" width="58.33203125" style="10" customWidth="1"/>
    <col min="3843" max="3843" width="33.109375" style="10" customWidth="1"/>
    <col min="3844" max="4096" width="9.109375" style="10"/>
    <col min="4097" max="4097" width="64.88671875" style="10" customWidth="1"/>
    <col min="4098" max="4098" width="58.33203125" style="10" customWidth="1"/>
    <col min="4099" max="4099" width="33.109375" style="10" customWidth="1"/>
    <col min="4100" max="4352" width="9.109375" style="10"/>
    <col min="4353" max="4353" width="64.88671875" style="10" customWidth="1"/>
    <col min="4354" max="4354" width="58.33203125" style="10" customWidth="1"/>
    <col min="4355" max="4355" width="33.109375" style="10" customWidth="1"/>
    <col min="4356" max="4608" width="9.109375" style="10"/>
    <col min="4609" max="4609" width="64.88671875" style="10" customWidth="1"/>
    <col min="4610" max="4610" width="58.33203125" style="10" customWidth="1"/>
    <col min="4611" max="4611" width="33.109375" style="10" customWidth="1"/>
    <col min="4612" max="4864" width="9.109375" style="10"/>
    <col min="4865" max="4865" width="64.88671875" style="10" customWidth="1"/>
    <col min="4866" max="4866" width="58.33203125" style="10" customWidth="1"/>
    <col min="4867" max="4867" width="33.109375" style="10" customWidth="1"/>
    <col min="4868" max="5120" width="9.109375" style="10"/>
    <col min="5121" max="5121" width="64.88671875" style="10" customWidth="1"/>
    <col min="5122" max="5122" width="58.33203125" style="10" customWidth="1"/>
    <col min="5123" max="5123" width="33.109375" style="10" customWidth="1"/>
    <col min="5124" max="5376" width="9.109375" style="10"/>
    <col min="5377" max="5377" width="64.88671875" style="10" customWidth="1"/>
    <col min="5378" max="5378" width="58.33203125" style="10" customWidth="1"/>
    <col min="5379" max="5379" width="33.109375" style="10" customWidth="1"/>
    <col min="5380" max="5632" width="9.109375" style="10"/>
    <col min="5633" max="5633" width="64.88671875" style="10" customWidth="1"/>
    <col min="5634" max="5634" width="58.33203125" style="10" customWidth="1"/>
    <col min="5635" max="5635" width="33.109375" style="10" customWidth="1"/>
    <col min="5636" max="5888" width="9.109375" style="10"/>
    <col min="5889" max="5889" width="64.88671875" style="10" customWidth="1"/>
    <col min="5890" max="5890" width="58.33203125" style="10" customWidth="1"/>
    <col min="5891" max="5891" width="33.109375" style="10" customWidth="1"/>
    <col min="5892" max="6144" width="9.109375" style="10"/>
    <col min="6145" max="6145" width="64.88671875" style="10" customWidth="1"/>
    <col min="6146" max="6146" width="58.33203125" style="10" customWidth="1"/>
    <col min="6147" max="6147" width="33.109375" style="10" customWidth="1"/>
    <col min="6148" max="6400" width="9.109375" style="10"/>
    <col min="6401" max="6401" width="64.88671875" style="10" customWidth="1"/>
    <col min="6402" max="6402" width="58.33203125" style="10" customWidth="1"/>
    <col min="6403" max="6403" width="33.109375" style="10" customWidth="1"/>
    <col min="6404" max="6656" width="9.109375" style="10"/>
    <col min="6657" max="6657" width="64.88671875" style="10" customWidth="1"/>
    <col min="6658" max="6658" width="58.33203125" style="10" customWidth="1"/>
    <col min="6659" max="6659" width="33.109375" style="10" customWidth="1"/>
    <col min="6660" max="6912" width="9.109375" style="10"/>
    <col min="6913" max="6913" width="64.88671875" style="10" customWidth="1"/>
    <col min="6914" max="6914" width="58.33203125" style="10" customWidth="1"/>
    <col min="6915" max="6915" width="33.109375" style="10" customWidth="1"/>
    <col min="6916" max="7168" width="9.109375" style="10"/>
    <col min="7169" max="7169" width="64.88671875" style="10" customWidth="1"/>
    <col min="7170" max="7170" width="58.33203125" style="10" customWidth="1"/>
    <col min="7171" max="7171" width="33.109375" style="10" customWidth="1"/>
    <col min="7172" max="7424" width="9.109375" style="10"/>
    <col min="7425" max="7425" width="64.88671875" style="10" customWidth="1"/>
    <col min="7426" max="7426" width="58.33203125" style="10" customWidth="1"/>
    <col min="7427" max="7427" width="33.109375" style="10" customWidth="1"/>
    <col min="7428" max="7680" width="9.109375" style="10"/>
    <col min="7681" max="7681" width="64.88671875" style="10" customWidth="1"/>
    <col min="7682" max="7682" width="58.33203125" style="10" customWidth="1"/>
    <col min="7683" max="7683" width="33.109375" style="10" customWidth="1"/>
    <col min="7684" max="7936" width="9.109375" style="10"/>
    <col min="7937" max="7937" width="64.88671875" style="10" customWidth="1"/>
    <col min="7938" max="7938" width="58.33203125" style="10" customWidth="1"/>
    <col min="7939" max="7939" width="33.109375" style="10" customWidth="1"/>
    <col min="7940" max="8192" width="9.109375" style="10"/>
    <col min="8193" max="8193" width="64.88671875" style="10" customWidth="1"/>
    <col min="8194" max="8194" width="58.33203125" style="10" customWidth="1"/>
    <col min="8195" max="8195" width="33.109375" style="10" customWidth="1"/>
    <col min="8196" max="8448" width="9.109375" style="10"/>
    <col min="8449" max="8449" width="64.88671875" style="10" customWidth="1"/>
    <col min="8450" max="8450" width="58.33203125" style="10" customWidth="1"/>
    <col min="8451" max="8451" width="33.109375" style="10" customWidth="1"/>
    <col min="8452" max="8704" width="9.109375" style="10"/>
    <col min="8705" max="8705" width="64.88671875" style="10" customWidth="1"/>
    <col min="8706" max="8706" width="58.33203125" style="10" customWidth="1"/>
    <col min="8707" max="8707" width="33.109375" style="10" customWidth="1"/>
    <col min="8708" max="8960" width="9.109375" style="10"/>
    <col min="8961" max="8961" width="64.88671875" style="10" customWidth="1"/>
    <col min="8962" max="8962" width="58.33203125" style="10" customWidth="1"/>
    <col min="8963" max="8963" width="33.109375" style="10" customWidth="1"/>
    <col min="8964" max="9216" width="9.109375" style="10"/>
    <col min="9217" max="9217" width="64.88671875" style="10" customWidth="1"/>
    <col min="9218" max="9218" width="58.33203125" style="10" customWidth="1"/>
    <col min="9219" max="9219" width="33.109375" style="10" customWidth="1"/>
    <col min="9220" max="9472" width="9.109375" style="10"/>
    <col min="9473" max="9473" width="64.88671875" style="10" customWidth="1"/>
    <col min="9474" max="9474" width="58.33203125" style="10" customWidth="1"/>
    <col min="9475" max="9475" width="33.109375" style="10" customWidth="1"/>
    <col min="9476" max="9728" width="9.109375" style="10"/>
    <col min="9729" max="9729" width="64.88671875" style="10" customWidth="1"/>
    <col min="9730" max="9730" width="58.33203125" style="10" customWidth="1"/>
    <col min="9731" max="9731" width="33.109375" style="10" customWidth="1"/>
    <col min="9732" max="9984" width="9.109375" style="10"/>
    <col min="9985" max="9985" width="64.88671875" style="10" customWidth="1"/>
    <col min="9986" max="9986" width="58.33203125" style="10" customWidth="1"/>
    <col min="9987" max="9987" width="33.109375" style="10" customWidth="1"/>
    <col min="9988" max="10240" width="9.109375" style="10"/>
    <col min="10241" max="10241" width="64.88671875" style="10" customWidth="1"/>
    <col min="10242" max="10242" width="58.33203125" style="10" customWidth="1"/>
    <col min="10243" max="10243" width="33.109375" style="10" customWidth="1"/>
    <col min="10244" max="10496" width="9.109375" style="10"/>
    <col min="10497" max="10497" width="64.88671875" style="10" customWidth="1"/>
    <col min="10498" max="10498" width="58.33203125" style="10" customWidth="1"/>
    <col min="10499" max="10499" width="33.109375" style="10" customWidth="1"/>
    <col min="10500" max="10752" width="9.109375" style="10"/>
    <col min="10753" max="10753" width="64.88671875" style="10" customWidth="1"/>
    <col min="10754" max="10754" width="58.33203125" style="10" customWidth="1"/>
    <col min="10755" max="10755" width="33.109375" style="10" customWidth="1"/>
    <col min="10756" max="11008" width="9.109375" style="10"/>
    <col min="11009" max="11009" width="64.88671875" style="10" customWidth="1"/>
    <col min="11010" max="11010" width="58.33203125" style="10" customWidth="1"/>
    <col min="11011" max="11011" width="33.109375" style="10" customWidth="1"/>
    <col min="11012" max="11264" width="9.109375" style="10"/>
    <col min="11265" max="11265" width="64.88671875" style="10" customWidth="1"/>
    <col min="11266" max="11266" width="58.33203125" style="10" customWidth="1"/>
    <col min="11267" max="11267" width="33.109375" style="10" customWidth="1"/>
    <col min="11268" max="11520" width="9.109375" style="10"/>
    <col min="11521" max="11521" width="64.88671875" style="10" customWidth="1"/>
    <col min="11522" max="11522" width="58.33203125" style="10" customWidth="1"/>
    <col min="11523" max="11523" width="33.109375" style="10" customWidth="1"/>
    <col min="11524" max="11776" width="9.109375" style="10"/>
    <col min="11777" max="11777" width="64.88671875" style="10" customWidth="1"/>
    <col min="11778" max="11778" width="58.33203125" style="10" customWidth="1"/>
    <col min="11779" max="11779" width="33.109375" style="10" customWidth="1"/>
    <col min="11780" max="12032" width="9.109375" style="10"/>
    <col min="12033" max="12033" width="64.88671875" style="10" customWidth="1"/>
    <col min="12034" max="12034" width="58.33203125" style="10" customWidth="1"/>
    <col min="12035" max="12035" width="33.109375" style="10" customWidth="1"/>
    <col min="12036" max="12288" width="9.109375" style="10"/>
    <col min="12289" max="12289" width="64.88671875" style="10" customWidth="1"/>
    <col min="12290" max="12290" width="58.33203125" style="10" customWidth="1"/>
    <col min="12291" max="12291" width="33.109375" style="10" customWidth="1"/>
    <col min="12292" max="12544" width="9.109375" style="10"/>
    <col min="12545" max="12545" width="64.88671875" style="10" customWidth="1"/>
    <col min="12546" max="12546" width="58.33203125" style="10" customWidth="1"/>
    <col min="12547" max="12547" width="33.109375" style="10" customWidth="1"/>
    <col min="12548" max="12800" width="9.109375" style="10"/>
    <col min="12801" max="12801" width="64.88671875" style="10" customWidth="1"/>
    <col min="12802" max="12802" width="58.33203125" style="10" customWidth="1"/>
    <col min="12803" max="12803" width="33.109375" style="10" customWidth="1"/>
    <col min="12804" max="13056" width="9.109375" style="10"/>
    <col min="13057" max="13057" width="64.88671875" style="10" customWidth="1"/>
    <col min="13058" max="13058" width="58.33203125" style="10" customWidth="1"/>
    <col min="13059" max="13059" width="33.109375" style="10" customWidth="1"/>
    <col min="13060" max="13312" width="9.109375" style="10"/>
    <col min="13313" max="13313" width="64.88671875" style="10" customWidth="1"/>
    <col min="13314" max="13314" width="58.33203125" style="10" customWidth="1"/>
    <col min="13315" max="13315" width="33.109375" style="10" customWidth="1"/>
    <col min="13316" max="13568" width="9.109375" style="10"/>
    <col min="13569" max="13569" width="64.88671875" style="10" customWidth="1"/>
    <col min="13570" max="13570" width="58.33203125" style="10" customWidth="1"/>
    <col min="13571" max="13571" width="33.109375" style="10" customWidth="1"/>
    <col min="13572" max="13824" width="9.109375" style="10"/>
    <col min="13825" max="13825" width="64.88671875" style="10" customWidth="1"/>
    <col min="13826" max="13826" width="58.33203125" style="10" customWidth="1"/>
    <col min="13827" max="13827" width="33.109375" style="10" customWidth="1"/>
    <col min="13828" max="14080" width="9.109375" style="10"/>
    <col min="14081" max="14081" width="64.88671875" style="10" customWidth="1"/>
    <col min="14082" max="14082" width="58.33203125" style="10" customWidth="1"/>
    <col min="14083" max="14083" width="33.109375" style="10" customWidth="1"/>
    <col min="14084" max="14336" width="9.109375" style="10"/>
    <col min="14337" max="14337" width="64.88671875" style="10" customWidth="1"/>
    <col min="14338" max="14338" width="58.33203125" style="10" customWidth="1"/>
    <col min="14339" max="14339" width="33.109375" style="10" customWidth="1"/>
    <col min="14340" max="14592" width="9.109375" style="10"/>
    <col min="14593" max="14593" width="64.88671875" style="10" customWidth="1"/>
    <col min="14594" max="14594" width="58.33203125" style="10" customWidth="1"/>
    <col min="14595" max="14595" width="33.109375" style="10" customWidth="1"/>
    <col min="14596" max="14848" width="9.109375" style="10"/>
    <col min="14849" max="14849" width="64.88671875" style="10" customWidth="1"/>
    <col min="14850" max="14850" width="58.33203125" style="10" customWidth="1"/>
    <col min="14851" max="14851" width="33.109375" style="10" customWidth="1"/>
    <col min="14852" max="15104" width="9.109375" style="10"/>
    <col min="15105" max="15105" width="64.88671875" style="10" customWidth="1"/>
    <col min="15106" max="15106" width="58.33203125" style="10" customWidth="1"/>
    <col min="15107" max="15107" width="33.109375" style="10" customWidth="1"/>
    <col min="15108" max="15360" width="9.109375" style="10"/>
    <col min="15361" max="15361" width="64.88671875" style="10" customWidth="1"/>
    <col min="15362" max="15362" width="58.33203125" style="10" customWidth="1"/>
    <col min="15363" max="15363" width="33.109375" style="10" customWidth="1"/>
    <col min="15364" max="15616" width="9.109375" style="10"/>
    <col min="15617" max="15617" width="64.88671875" style="10" customWidth="1"/>
    <col min="15618" max="15618" width="58.33203125" style="10" customWidth="1"/>
    <col min="15619" max="15619" width="33.109375" style="10" customWidth="1"/>
    <col min="15620" max="15872" width="9.109375" style="10"/>
    <col min="15873" max="15873" width="64.88671875" style="10" customWidth="1"/>
    <col min="15874" max="15874" width="58.33203125" style="10" customWidth="1"/>
    <col min="15875" max="15875" width="33.109375" style="10" customWidth="1"/>
    <col min="15876" max="16128" width="9.109375" style="10"/>
    <col min="16129" max="16129" width="64.88671875" style="10" customWidth="1"/>
    <col min="16130" max="16130" width="58.33203125" style="10" customWidth="1"/>
    <col min="16131" max="16131" width="33.109375" style="10" customWidth="1"/>
    <col min="16132" max="16384" width="9.109375" style="10"/>
  </cols>
  <sheetData>
    <row r="1" spans="1:3" x14ac:dyDescent="0.25">
      <c r="A1" s="413" t="s">
        <v>1029</v>
      </c>
      <c r="B1" s="413"/>
      <c r="C1" s="413"/>
    </row>
    <row r="2" spans="1:3" x14ac:dyDescent="0.25">
      <c r="A2" s="64"/>
      <c r="B2" s="64"/>
      <c r="C2" s="64"/>
    </row>
    <row r="3" spans="1:3" ht="15.6" x14ac:dyDescent="0.3">
      <c r="A3" s="65" t="s">
        <v>240</v>
      </c>
      <c r="B3" s="65"/>
      <c r="C3" s="65"/>
    </row>
    <row r="4" spans="1:3" ht="15.6" x14ac:dyDescent="0.3">
      <c r="A4" s="66"/>
      <c r="B4" s="66"/>
      <c r="C4" s="66"/>
    </row>
    <row r="5" spans="1:3" ht="15.6" x14ac:dyDescent="0.3">
      <c r="A5" s="67" t="s">
        <v>241</v>
      </c>
      <c r="B5" s="68" t="s">
        <v>242</v>
      </c>
      <c r="C5" s="69" t="s">
        <v>243</v>
      </c>
    </row>
    <row r="6" spans="1:3" ht="15.6" x14ac:dyDescent="0.3">
      <c r="A6" s="70" t="s">
        <v>244</v>
      </c>
      <c r="B6" s="71" t="s">
        <v>245</v>
      </c>
      <c r="C6" s="72">
        <v>12000</v>
      </c>
    </row>
    <row r="7" spans="1:3" ht="15.6" x14ac:dyDescent="0.3">
      <c r="A7" s="70" t="s">
        <v>246</v>
      </c>
      <c r="B7" s="71" t="s">
        <v>247</v>
      </c>
      <c r="C7" s="72">
        <v>14500</v>
      </c>
    </row>
    <row r="8" spans="1:3" ht="15.6" x14ac:dyDescent="0.3">
      <c r="A8" s="73" t="s">
        <v>248</v>
      </c>
      <c r="B8" s="74" t="s">
        <v>249</v>
      </c>
      <c r="C8" s="75">
        <v>17100</v>
      </c>
    </row>
    <row r="9" spans="1:3" ht="31.2" x14ac:dyDescent="0.3">
      <c r="A9" s="73" t="s">
        <v>250</v>
      </c>
      <c r="B9" s="74" t="s">
        <v>251</v>
      </c>
      <c r="C9" s="75">
        <v>1000</v>
      </c>
    </row>
    <row r="10" spans="1:3" ht="15.6" x14ac:dyDescent="0.3">
      <c r="A10" s="73" t="s">
        <v>252</v>
      </c>
      <c r="B10" s="74" t="s">
        <v>253</v>
      </c>
      <c r="C10" s="75">
        <v>2200</v>
      </c>
    </row>
    <row r="11" spans="1:3" ht="31.2" x14ac:dyDescent="0.3">
      <c r="A11" s="73" t="s">
        <v>254</v>
      </c>
      <c r="B11" s="71" t="s">
        <v>255</v>
      </c>
      <c r="C11" s="72">
        <v>11000</v>
      </c>
    </row>
    <row r="12" spans="1:3" ht="8.25" customHeight="1" x14ac:dyDescent="0.3">
      <c r="A12" s="66"/>
      <c r="B12" s="66"/>
      <c r="C12" s="66"/>
    </row>
    <row r="13" spans="1:3" ht="15.6" x14ac:dyDescent="0.3">
      <c r="A13" s="76" t="s">
        <v>256</v>
      </c>
      <c r="B13" s="66"/>
      <c r="C13" s="66"/>
    </row>
    <row r="14" spans="1:3" ht="15.6" x14ac:dyDescent="0.3">
      <c r="A14" s="76" t="s">
        <v>257</v>
      </c>
      <c r="B14" s="66"/>
      <c r="C14" s="66"/>
    </row>
    <row r="15" spans="1:3" ht="37.5" customHeight="1" x14ac:dyDescent="0.25">
      <c r="A15" s="414" t="s">
        <v>258</v>
      </c>
      <c r="B15" s="414"/>
      <c r="C15" s="414"/>
    </row>
    <row r="16" spans="1:3" ht="51" customHeight="1" x14ac:dyDescent="0.25">
      <c r="A16" s="414" t="s">
        <v>509</v>
      </c>
      <c r="B16" s="414"/>
      <c r="C16" s="414"/>
    </row>
    <row r="17" spans="1:3" ht="9.75" customHeight="1" x14ac:dyDescent="0.3">
      <c r="A17" s="76"/>
      <c r="B17" s="66"/>
      <c r="C17" s="66"/>
    </row>
    <row r="18" spans="1:3" ht="15.6" x14ac:dyDescent="0.3">
      <c r="A18" s="76" t="s">
        <v>259</v>
      </c>
      <c r="B18" s="66"/>
      <c r="C18" s="66"/>
    </row>
    <row r="19" spans="1:3" ht="8.25" customHeight="1" x14ac:dyDescent="0.3">
      <c r="B19" s="66"/>
      <c r="C19" s="66"/>
    </row>
    <row r="20" spans="1:3" x14ac:dyDescent="0.25">
      <c r="A20" s="415" t="s">
        <v>260</v>
      </c>
      <c r="B20" s="415"/>
      <c r="C20" s="415"/>
    </row>
    <row r="21" spans="1:3" ht="25.5" customHeight="1" x14ac:dyDescent="0.25">
      <c r="A21" s="412" t="s">
        <v>261</v>
      </c>
      <c r="B21" s="412"/>
      <c r="C21" s="412"/>
    </row>
    <row r="22" spans="1:3" x14ac:dyDescent="0.25">
      <c r="A22" s="13" t="s">
        <v>1020</v>
      </c>
    </row>
    <row r="23" spans="1:3" ht="25.5" customHeight="1" x14ac:dyDescent="0.25">
      <c r="A23" s="412" t="s">
        <v>262</v>
      </c>
      <c r="B23" s="412"/>
      <c r="C23" s="412"/>
    </row>
    <row r="24" spans="1:3" x14ac:dyDescent="0.25">
      <c r="A24" s="412" t="s">
        <v>507</v>
      </c>
      <c r="B24" s="412"/>
      <c r="C24" s="412"/>
    </row>
    <row r="25" spans="1:3" x14ac:dyDescent="0.25">
      <c r="A25" s="412" t="s">
        <v>319</v>
      </c>
      <c r="B25" s="416"/>
      <c r="C25" s="416"/>
    </row>
    <row r="26" spans="1:3" x14ac:dyDescent="0.25">
      <c r="A26" s="412" t="s">
        <v>508</v>
      </c>
      <c r="B26" s="416"/>
      <c r="C26" s="416"/>
    </row>
    <row r="27" spans="1:3" x14ac:dyDescent="0.25">
      <c r="A27" s="135"/>
      <c r="B27" s="135"/>
      <c r="C27" s="135"/>
    </row>
    <row r="28" spans="1:3" x14ac:dyDescent="0.25">
      <c r="A28" s="136" t="s">
        <v>263</v>
      </c>
      <c r="B28" s="135"/>
      <c r="C28" s="135"/>
    </row>
    <row r="29" spans="1:3" ht="30" customHeight="1" x14ac:dyDescent="0.25">
      <c r="A29" s="412" t="s">
        <v>264</v>
      </c>
      <c r="B29" s="412"/>
      <c r="C29" s="412"/>
    </row>
    <row r="30" spans="1:3" x14ac:dyDescent="0.25">
      <c r="A30" s="135"/>
      <c r="B30" s="135"/>
      <c r="C30" s="135"/>
    </row>
    <row r="31" spans="1:3" x14ac:dyDescent="0.25">
      <c r="A31" s="77" t="s">
        <v>265</v>
      </c>
    </row>
    <row r="32" spans="1:3" x14ac:dyDescent="0.25">
      <c r="A32" s="412" t="s">
        <v>266</v>
      </c>
      <c r="B32" s="412"/>
      <c r="C32" s="412"/>
    </row>
    <row r="33" spans="1:3" x14ac:dyDescent="0.25">
      <c r="A33" s="78" t="s">
        <v>267</v>
      </c>
    </row>
    <row r="34" spans="1:3" x14ac:dyDescent="0.25">
      <c r="A34" s="78"/>
    </row>
    <row r="35" spans="1:3" x14ac:dyDescent="0.25">
      <c r="A35" s="76" t="s">
        <v>268</v>
      </c>
      <c r="B35" s="76"/>
      <c r="C35" s="76"/>
    </row>
    <row r="36" spans="1:3" ht="26.25" customHeight="1" x14ac:dyDescent="0.25">
      <c r="A36" s="412" t="s">
        <v>269</v>
      </c>
      <c r="B36" s="412"/>
      <c r="C36" s="412"/>
    </row>
    <row r="38" spans="1:3" x14ac:dyDescent="0.25">
      <c r="A38" s="76" t="s">
        <v>270</v>
      </c>
      <c r="B38" s="76"/>
      <c r="C38" s="76"/>
    </row>
    <row r="39" spans="1:3" x14ac:dyDescent="0.25">
      <c r="A39" s="76"/>
      <c r="B39" s="76"/>
      <c r="C39" s="76"/>
    </row>
    <row r="40" spans="1:3" x14ac:dyDescent="0.25">
      <c r="A40" s="79" t="s">
        <v>271</v>
      </c>
      <c r="B40" s="79" t="s">
        <v>272</v>
      </c>
      <c r="C40" s="79" t="s">
        <v>273</v>
      </c>
    </row>
    <row r="41" spans="1:3" s="9" customFormat="1" ht="66" x14ac:dyDescent="0.25">
      <c r="A41" s="99" t="s">
        <v>513</v>
      </c>
      <c r="B41" s="99" t="s">
        <v>515</v>
      </c>
      <c r="C41" s="99" t="s">
        <v>514</v>
      </c>
    </row>
    <row r="42" spans="1:3" s="9" customFormat="1" ht="79.2" x14ac:dyDescent="0.25">
      <c r="A42" s="99" t="s">
        <v>510</v>
      </c>
      <c r="B42" s="99" t="s">
        <v>512</v>
      </c>
      <c r="C42" s="99" t="s">
        <v>511</v>
      </c>
    </row>
    <row r="43" spans="1:3" s="9" customFormat="1" ht="132" x14ac:dyDescent="0.25">
      <c r="A43" s="98" t="s">
        <v>505</v>
      </c>
      <c r="B43" s="99" t="s">
        <v>506</v>
      </c>
      <c r="C43" s="99" t="s">
        <v>275</v>
      </c>
    </row>
    <row r="44" spans="1:3" s="9" customFormat="1" ht="52.8" x14ac:dyDescent="0.25">
      <c r="A44" s="99" t="s">
        <v>502</v>
      </c>
      <c r="B44" s="99" t="s">
        <v>504</v>
      </c>
      <c r="C44" s="99" t="s">
        <v>503</v>
      </c>
    </row>
    <row r="45" spans="1:3" s="9" customFormat="1" ht="26.4" x14ac:dyDescent="0.25">
      <c r="A45" s="99" t="s">
        <v>500</v>
      </c>
      <c r="B45" s="99" t="s">
        <v>501</v>
      </c>
      <c r="C45" s="98" t="s">
        <v>276</v>
      </c>
    </row>
    <row r="46" spans="1:3" ht="52.8" x14ac:dyDescent="0.25">
      <c r="A46" s="98" t="s">
        <v>602</v>
      </c>
      <c r="B46" s="99" t="s">
        <v>604</v>
      </c>
      <c r="C46" s="98" t="s">
        <v>603</v>
      </c>
    </row>
    <row r="47" spans="1:3" ht="66" x14ac:dyDescent="0.25">
      <c r="A47" s="98" t="s">
        <v>605</v>
      </c>
      <c r="B47" s="99" t="s">
        <v>606</v>
      </c>
      <c r="C47" s="99" t="s">
        <v>511</v>
      </c>
    </row>
    <row r="48" spans="1:3" ht="52.8" x14ac:dyDescent="0.25">
      <c r="A48" s="98" t="s">
        <v>607</v>
      </c>
      <c r="B48" s="99" t="s">
        <v>609</v>
      </c>
      <c r="C48" s="99" t="s">
        <v>608</v>
      </c>
    </row>
    <row r="49" spans="1:3" ht="250.8" x14ac:dyDescent="0.25">
      <c r="A49" s="98" t="s">
        <v>610</v>
      </c>
      <c r="B49" s="99" t="s">
        <v>611</v>
      </c>
      <c r="C49" s="99" t="s">
        <v>612</v>
      </c>
    </row>
    <row r="50" spans="1:3" ht="39.6" x14ac:dyDescent="0.25">
      <c r="A50" s="137" t="s">
        <v>1015</v>
      </c>
      <c r="B50" s="137" t="s">
        <v>1016</v>
      </c>
      <c r="C50" s="138" t="s">
        <v>318</v>
      </c>
    </row>
    <row r="51" spans="1:3" ht="66" x14ac:dyDescent="0.25">
      <c r="A51" s="137" t="s">
        <v>1017</v>
      </c>
      <c r="B51" s="137" t="s">
        <v>1019</v>
      </c>
      <c r="C51" s="138" t="s">
        <v>1018</v>
      </c>
    </row>
    <row r="52" spans="1:3" ht="79.2" x14ac:dyDescent="0.25">
      <c r="A52" s="98" t="s">
        <v>997</v>
      </c>
      <c r="B52" s="99" t="s">
        <v>1000</v>
      </c>
      <c r="C52" s="99" t="s">
        <v>274</v>
      </c>
    </row>
    <row r="53" spans="1:3" ht="92.4" x14ac:dyDescent="0.25">
      <c r="A53" s="99" t="s">
        <v>1005</v>
      </c>
      <c r="B53" s="99" t="s">
        <v>1004</v>
      </c>
      <c r="C53" s="99" t="s">
        <v>1001</v>
      </c>
    </row>
    <row r="54" spans="1:3" ht="52.8" x14ac:dyDescent="0.25">
      <c r="A54" s="354" t="s">
        <v>1006</v>
      </c>
      <c r="B54" s="355" t="s">
        <v>1008</v>
      </c>
      <c r="C54" s="356" t="s">
        <v>613</v>
      </c>
    </row>
    <row r="55" spans="1:3" ht="132" x14ac:dyDescent="0.25">
      <c r="A55" s="99" t="s">
        <v>1007</v>
      </c>
      <c r="B55" s="99" t="s">
        <v>1003</v>
      </c>
      <c r="C55" s="98" t="s">
        <v>1002</v>
      </c>
    </row>
    <row r="56" spans="1:3" ht="52.8" x14ac:dyDescent="0.25">
      <c r="A56" s="98" t="s">
        <v>998</v>
      </c>
      <c r="B56" s="99" t="s">
        <v>1010</v>
      </c>
      <c r="C56" s="98" t="s">
        <v>1009</v>
      </c>
    </row>
    <row r="57" spans="1:3" ht="52.8" x14ac:dyDescent="0.25">
      <c r="A57" s="98" t="s">
        <v>999</v>
      </c>
      <c r="B57" s="99" t="s">
        <v>1011</v>
      </c>
      <c r="C57" s="98" t="s">
        <v>1012</v>
      </c>
    </row>
    <row r="58" spans="1:3" ht="79.2" x14ac:dyDescent="0.25">
      <c r="A58" s="99" t="s">
        <v>1013</v>
      </c>
      <c r="B58" s="99" t="s">
        <v>1014</v>
      </c>
      <c r="C58" s="99" t="s">
        <v>499</v>
      </c>
    </row>
  </sheetData>
  <mergeCells count="12">
    <mergeCell ref="A36:C36"/>
    <mergeCell ref="A1:C1"/>
    <mergeCell ref="A15:C15"/>
    <mergeCell ref="A16:C16"/>
    <mergeCell ref="A20:C20"/>
    <mergeCell ref="A21:C21"/>
    <mergeCell ref="A23:C23"/>
    <mergeCell ref="A24:C24"/>
    <mergeCell ref="A25:C25"/>
    <mergeCell ref="A26:C26"/>
    <mergeCell ref="A29:C29"/>
    <mergeCell ref="A32:C32"/>
  </mergeCells>
  <pageMargins left="0.7" right="0.7" top="0.75" bottom="0.75" header="0.3" footer="0.3"/>
  <pageSetup paperSize="9" scale="4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2"/>
  <sheetViews>
    <sheetView view="pageBreakPreview" topLeftCell="A22" zoomScaleNormal="100" zoomScaleSheetLayoutView="100" workbookViewId="0">
      <selection activeCell="O1" sqref="O1"/>
    </sheetView>
  </sheetViews>
  <sheetFormatPr defaultColWidth="8" defaultRowHeight="13.2" x14ac:dyDescent="0.25"/>
  <cols>
    <col min="1" max="1" width="2.88671875" style="82" customWidth="1"/>
    <col min="2" max="2" width="32.44140625" style="82" bestFit="1" customWidth="1"/>
    <col min="3" max="3" width="9.88671875" style="82" bestFit="1" customWidth="1"/>
    <col min="4" max="4" width="8.88671875" style="82" bestFit="1" customWidth="1"/>
    <col min="5" max="5" width="8.109375" style="82" customWidth="1"/>
    <col min="6" max="6" width="8.6640625" style="82" customWidth="1"/>
    <col min="7" max="7" width="8" style="82" bestFit="1" customWidth="1"/>
    <col min="8" max="8" width="8.33203125" style="82" customWidth="1"/>
    <col min="9" max="9" width="9.6640625" style="82" customWidth="1"/>
    <col min="10" max="10" width="8.88671875" style="82" bestFit="1" customWidth="1"/>
    <col min="11" max="13" width="8.44140625" style="82" bestFit="1" customWidth="1"/>
    <col min="14" max="14" width="8.88671875" style="82" customWidth="1"/>
    <col min="15" max="15" width="13.21875" style="159" customWidth="1"/>
    <col min="16" max="16" width="10.109375" style="82" bestFit="1" customWidth="1"/>
    <col min="17" max="17" width="8" style="83"/>
    <col min="18" max="256" width="8" style="82"/>
    <col min="257" max="257" width="2.88671875" style="82" customWidth="1"/>
    <col min="258" max="258" width="32.44140625" style="82" bestFit="1" customWidth="1"/>
    <col min="259" max="259" width="9.88671875" style="82" bestFit="1" customWidth="1"/>
    <col min="260" max="260" width="8.88671875" style="82" bestFit="1" customWidth="1"/>
    <col min="261" max="261" width="7.44140625" style="82" bestFit="1" customWidth="1"/>
    <col min="262" max="262" width="8.6640625" style="82" customWidth="1"/>
    <col min="263" max="263" width="8" style="82" bestFit="1" customWidth="1"/>
    <col min="264" max="265" width="7.44140625" style="82" bestFit="1" customWidth="1"/>
    <col min="266" max="266" width="8.88671875" style="82" bestFit="1" customWidth="1"/>
    <col min="267" max="270" width="8.44140625" style="82" bestFit="1" customWidth="1"/>
    <col min="271" max="271" width="8.88671875" style="82" customWidth="1"/>
    <col min="272" max="272" width="10.109375" style="82" bestFit="1" customWidth="1"/>
    <col min="273" max="512" width="8" style="82"/>
    <col min="513" max="513" width="2.88671875" style="82" customWidth="1"/>
    <col min="514" max="514" width="32.44140625" style="82" bestFit="1" customWidth="1"/>
    <col min="515" max="515" width="9.88671875" style="82" bestFit="1" customWidth="1"/>
    <col min="516" max="516" width="8.88671875" style="82" bestFit="1" customWidth="1"/>
    <col min="517" max="517" width="7.44140625" style="82" bestFit="1" customWidth="1"/>
    <col min="518" max="518" width="8.6640625" style="82" customWidth="1"/>
    <col min="519" max="519" width="8" style="82" bestFit="1" customWidth="1"/>
    <col min="520" max="521" width="7.44140625" style="82" bestFit="1" customWidth="1"/>
    <col min="522" max="522" width="8.88671875" style="82" bestFit="1" customWidth="1"/>
    <col min="523" max="526" width="8.44140625" style="82" bestFit="1" customWidth="1"/>
    <col min="527" max="527" width="8.88671875" style="82" customWidth="1"/>
    <col min="528" max="528" width="10.109375" style="82" bestFit="1" customWidth="1"/>
    <col min="529" max="768" width="8" style="82"/>
    <col min="769" max="769" width="2.88671875" style="82" customWidth="1"/>
    <col min="770" max="770" width="32.44140625" style="82" bestFit="1" customWidth="1"/>
    <col min="771" max="771" width="9.88671875" style="82" bestFit="1" customWidth="1"/>
    <col min="772" max="772" width="8.88671875" style="82" bestFit="1" customWidth="1"/>
    <col min="773" max="773" width="7.44140625" style="82" bestFit="1" customWidth="1"/>
    <col min="774" max="774" width="8.6640625" style="82" customWidth="1"/>
    <col min="775" max="775" width="8" style="82" bestFit="1" customWidth="1"/>
    <col min="776" max="777" width="7.44140625" style="82" bestFit="1" customWidth="1"/>
    <col min="778" max="778" width="8.88671875" style="82" bestFit="1" customWidth="1"/>
    <col min="779" max="782" width="8.44140625" style="82" bestFit="1" customWidth="1"/>
    <col min="783" max="783" width="8.88671875" style="82" customWidth="1"/>
    <col min="784" max="784" width="10.109375" style="82" bestFit="1" customWidth="1"/>
    <col min="785" max="1024" width="8" style="82"/>
    <col min="1025" max="1025" width="2.88671875" style="82" customWidth="1"/>
    <col min="1026" max="1026" width="32.44140625" style="82" bestFit="1" customWidth="1"/>
    <col min="1027" max="1027" width="9.88671875" style="82" bestFit="1" customWidth="1"/>
    <col min="1028" max="1028" width="8.88671875" style="82" bestFit="1" customWidth="1"/>
    <col min="1029" max="1029" width="7.44140625" style="82" bestFit="1" customWidth="1"/>
    <col min="1030" max="1030" width="8.6640625" style="82" customWidth="1"/>
    <col min="1031" max="1031" width="8" style="82" bestFit="1" customWidth="1"/>
    <col min="1032" max="1033" width="7.44140625" style="82" bestFit="1" customWidth="1"/>
    <col min="1034" max="1034" width="8.88671875" style="82" bestFit="1" customWidth="1"/>
    <col min="1035" max="1038" width="8.44140625" style="82" bestFit="1" customWidth="1"/>
    <col min="1039" max="1039" width="8.88671875" style="82" customWidth="1"/>
    <col min="1040" max="1040" width="10.109375" style="82" bestFit="1" customWidth="1"/>
    <col min="1041" max="1280" width="8" style="82"/>
    <col min="1281" max="1281" width="2.88671875" style="82" customWidth="1"/>
    <col min="1282" max="1282" width="32.44140625" style="82" bestFit="1" customWidth="1"/>
    <col min="1283" max="1283" width="9.88671875" style="82" bestFit="1" customWidth="1"/>
    <col min="1284" max="1284" width="8.88671875" style="82" bestFit="1" customWidth="1"/>
    <col min="1285" max="1285" width="7.44140625" style="82" bestFit="1" customWidth="1"/>
    <col min="1286" max="1286" width="8.6640625" style="82" customWidth="1"/>
    <col min="1287" max="1287" width="8" style="82" bestFit="1" customWidth="1"/>
    <col min="1288" max="1289" width="7.44140625" style="82" bestFit="1" customWidth="1"/>
    <col min="1290" max="1290" width="8.88671875" style="82" bestFit="1" customWidth="1"/>
    <col min="1291" max="1294" width="8.44140625" style="82" bestFit="1" customWidth="1"/>
    <col min="1295" max="1295" width="8.88671875" style="82" customWidth="1"/>
    <col min="1296" max="1296" width="10.109375" style="82" bestFit="1" customWidth="1"/>
    <col min="1297" max="1536" width="8" style="82"/>
    <col min="1537" max="1537" width="2.88671875" style="82" customWidth="1"/>
    <col min="1538" max="1538" width="32.44140625" style="82" bestFit="1" customWidth="1"/>
    <col min="1539" max="1539" width="9.88671875" style="82" bestFit="1" customWidth="1"/>
    <col min="1540" max="1540" width="8.88671875" style="82" bestFit="1" customWidth="1"/>
    <col min="1541" max="1541" width="7.44140625" style="82" bestFit="1" customWidth="1"/>
    <col min="1542" max="1542" width="8.6640625" style="82" customWidth="1"/>
    <col min="1543" max="1543" width="8" style="82" bestFit="1" customWidth="1"/>
    <col min="1544" max="1545" width="7.44140625" style="82" bestFit="1" customWidth="1"/>
    <col min="1546" max="1546" width="8.88671875" style="82" bestFit="1" customWidth="1"/>
    <col min="1547" max="1550" width="8.44140625" style="82" bestFit="1" customWidth="1"/>
    <col min="1551" max="1551" width="8.88671875" style="82" customWidth="1"/>
    <col min="1552" max="1552" width="10.109375" style="82" bestFit="1" customWidth="1"/>
    <col min="1553" max="1792" width="8" style="82"/>
    <col min="1793" max="1793" width="2.88671875" style="82" customWidth="1"/>
    <col min="1794" max="1794" width="32.44140625" style="82" bestFit="1" customWidth="1"/>
    <col min="1795" max="1795" width="9.88671875" style="82" bestFit="1" customWidth="1"/>
    <col min="1796" max="1796" width="8.88671875" style="82" bestFit="1" customWidth="1"/>
    <col min="1797" max="1797" width="7.44140625" style="82" bestFit="1" customWidth="1"/>
    <col min="1798" max="1798" width="8.6640625" style="82" customWidth="1"/>
    <col min="1799" max="1799" width="8" style="82" bestFit="1" customWidth="1"/>
    <col min="1800" max="1801" width="7.44140625" style="82" bestFit="1" customWidth="1"/>
    <col min="1802" max="1802" width="8.88671875" style="82" bestFit="1" customWidth="1"/>
    <col min="1803" max="1806" width="8.44140625" style="82" bestFit="1" customWidth="1"/>
    <col min="1807" max="1807" width="8.88671875" style="82" customWidth="1"/>
    <col min="1808" max="1808" width="10.109375" style="82" bestFit="1" customWidth="1"/>
    <col min="1809" max="2048" width="8" style="82"/>
    <col min="2049" max="2049" width="2.88671875" style="82" customWidth="1"/>
    <col min="2050" max="2050" width="32.44140625" style="82" bestFit="1" customWidth="1"/>
    <col min="2051" max="2051" width="9.88671875" style="82" bestFit="1" customWidth="1"/>
    <col min="2052" max="2052" width="8.88671875" style="82" bestFit="1" customWidth="1"/>
    <col min="2053" max="2053" width="7.44140625" style="82" bestFit="1" customWidth="1"/>
    <col min="2054" max="2054" width="8.6640625" style="82" customWidth="1"/>
    <col min="2055" max="2055" width="8" style="82" bestFit="1" customWidth="1"/>
    <col min="2056" max="2057" width="7.44140625" style="82" bestFit="1" customWidth="1"/>
    <col min="2058" max="2058" width="8.88671875" style="82" bestFit="1" customWidth="1"/>
    <col min="2059" max="2062" width="8.44140625" style="82" bestFit="1" customWidth="1"/>
    <col min="2063" max="2063" width="8.88671875" style="82" customWidth="1"/>
    <col min="2064" max="2064" width="10.109375" style="82" bestFit="1" customWidth="1"/>
    <col min="2065" max="2304" width="8" style="82"/>
    <col min="2305" max="2305" width="2.88671875" style="82" customWidth="1"/>
    <col min="2306" max="2306" width="32.44140625" style="82" bestFit="1" customWidth="1"/>
    <col min="2307" max="2307" width="9.88671875" style="82" bestFit="1" customWidth="1"/>
    <col min="2308" max="2308" width="8.88671875" style="82" bestFit="1" customWidth="1"/>
    <col min="2309" max="2309" width="7.44140625" style="82" bestFit="1" customWidth="1"/>
    <col min="2310" max="2310" width="8.6640625" style="82" customWidth="1"/>
    <col min="2311" max="2311" width="8" style="82" bestFit="1" customWidth="1"/>
    <col min="2312" max="2313" width="7.44140625" style="82" bestFit="1" customWidth="1"/>
    <col min="2314" max="2314" width="8.88671875" style="82" bestFit="1" customWidth="1"/>
    <col min="2315" max="2318" width="8.44140625" style="82" bestFit="1" customWidth="1"/>
    <col min="2319" max="2319" width="8.88671875" style="82" customWidth="1"/>
    <col min="2320" max="2320" width="10.109375" style="82" bestFit="1" customWidth="1"/>
    <col min="2321" max="2560" width="8" style="82"/>
    <col min="2561" max="2561" width="2.88671875" style="82" customWidth="1"/>
    <col min="2562" max="2562" width="32.44140625" style="82" bestFit="1" customWidth="1"/>
    <col min="2563" max="2563" width="9.88671875" style="82" bestFit="1" customWidth="1"/>
    <col min="2564" max="2564" width="8.88671875" style="82" bestFit="1" customWidth="1"/>
    <col min="2565" max="2565" width="7.44140625" style="82" bestFit="1" customWidth="1"/>
    <col min="2566" max="2566" width="8.6640625" style="82" customWidth="1"/>
    <col min="2567" max="2567" width="8" style="82" bestFit="1" customWidth="1"/>
    <col min="2568" max="2569" width="7.44140625" style="82" bestFit="1" customWidth="1"/>
    <col min="2570" max="2570" width="8.88671875" style="82" bestFit="1" customWidth="1"/>
    <col min="2571" max="2574" width="8.44140625" style="82" bestFit="1" customWidth="1"/>
    <col min="2575" max="2575" width="8.88671875" style="82" customWidth="1"/>
    <col min="2576" max="2576" width="10.109375" style="82" bestFit="1" customWidth="1"/>
    <col min="2577" max="2816" width="8" style="82"/>
    <col min="2817" max="2817" width="2.88671875" style="82" customWidth="1"/>
    <col min="2818" max="2818" width="32.44140625" style="82" bestFit="1" customWidth="1"/>
    <col min="2819" max="2819" width="9.88671875" style="82" bestFit="1" customWidth="1"/>
    <col min="2820" max="2820" width="8.88671875" style="82" bestFit="1" customWidth="1"/>
    <col min="2821" max="2821" width="7.44140625" style="82" bestFit="1" customWidth="1"/>
    <col min="2822" max="2822" width="8.6640625" style="82" customWidth="1"/>
    <col min="2823" max="2823" width="8" style="82" bestFit="1" customWidth="1"/>
    <col min="2824" max="2825" width="7.44140625" style="82" bestFit="1" customWidth="1"/>
    <col min="2826" max="2826" width="8.88671875" style="82" bestFit="1" customWidth="1"/>
    <col min="2827" max="2830" width="8.44140625" style="82" bestFit="1" customWidth="1"/>
    <col min="2831" max="2831" width="8.88671875" style="82" customWidth="1"/>
    <col min="2832" max="2832" width="10.109375" style="82" bestFit="1" customWidth="1"/>
    <col min="2833" max="3072" width="8" style="82"/>
    <col min="3073" max="3073" width="2.88671875" style="82" customWidth="1"/>
    <col min="3074" max="3074" width="32.44140625" style="82" bestFit="1" customWidth="1"/>
    <col min="3075" max="3075" width="9.88671875" style="82" bestFit="1" customWidth="1"/>
    <col min="3076" max="3076" width="8.88671875" style="82" bestFit="1" customWidth="1"/>
    <col min="3077" max="3077" width="7.44140625" style="82" bestFit="1" customWidth="1"/>
    <col min="3078" max="3078" width="8.6640625" style="82" customWidth="1"/>
    <col min="3079" max="3079" width="8" style="82" bestFit="1" customWidth="1"/>
    <col min="3080" max="3081" width="7.44140625" style="82" bestFit="1" customWidth="1"/>
    <col min="3082" max="3082" width="8.88671875" style="82" bestFit="1" customWidth="1"/>
    <col min="3083" max="3086" width="8.44140625" style="82" bestFit="1" customWidth="1"/>
    <col min="3087" max="3087" width="8.88671875" style="82" customWidth="1"/>
    <col min="3088" max="3088" width="10.109375" style="82" bestFit="1" customWidth="1"/>
    <col min="3089" max="3328" width="8" style="82"/>
    <col min="3329" max="3329" width="2.88671875" style="82" customWidth="1"/>
    <col min="3330" max="3330" width="32.44140625" style="82" bestFit="1" customWidth="1"/>
    <col min="3331" max="3331" width="9.88671875" style="82" bestFit="1" customWidth="1"/>
    <col min="3332" max="3332" width="8.88671875" style="82" bestFit="1" customWidth="1"/>
    <col min="3333" max="3333" width="7.44140625" style="82" bestFit="1" customWidth="1"/>
    <col min="3334" max="3334" width="8.6640625" style="82" customWidth="1"/>
    <col min="3335" max="3335" width="8" style="82" bestFit="1" customWidth="1"/>
    <col min="3336" max="3337" width="7.44140625" style="82" bestFit="1" customWidth="1"/>
    <col min="3338" max="3338" width="8.88671875" style="82" bestFit="1" customWidth="1"/>
    <col min="3339" max="3342" width="8.44140625" style="82" bestFit="1" customWidth="1"/>
    <col min="3343" max="3343" width="8.88671875" style="82" customWidth="1"/>
    <col min="3344" max="3344" width="10.109375" style="82" bestFit="1" customWidth="1"/>
    <col min="3345" max="3584" width="8" style="82"/>
    <col min="3585" max="3585" width="2.88671875" style="82" customWidth="1"/>
    <col min="3586" max="3586" width="32.44140625" style="82" bestFit="1" customWidth="1"/>
    <col min="3587" max="3587" width="9.88671875" style="82" bestFit="1" customWidth="1"/>
    <col min="3588" max="3588" width="8.88671875" style="82" bestFit="1" customWidth="1"/>
    <col min="3589" max="3589" width="7.44140625" style="82" bestFit="1" customWidth="1"/>
    <col min="3590" max="3590" width="8.6640625" style="82" customWidth="1"/>
    <col min="3591" max="3591" width="8" style="82" bestFit="1" customWidth="1"/>
    <col min="3592" max="3593" width="7.44140625" style="82" bestFit="1" customWidth="1"/>
    <col min="3594" max="3594" width="8.88671875" style="82" bestFit="1" customWidth="1"/>
    <col min="3595" max="3598" width="8.44140625" style="82" bestFit="1" customWidth="1"/>
    <col min="3599" max="3599" width="8.88671875" style="82" customWidth="1"/>
    <col min="3600" max="3600" width="10.109375" style="82" bestFit="1" customWidth="1"/>
    <col min="3601" max="3840" width="8" style="82"/>
    <col min="3841" max="3841" width="2.88671875" style="82" customWidth="1"/>
    <col min="3842" max="3842" width="32.44140625" style="82" bestFit="1" customWidth="1"/>
    <col min="3843" max="3843" width="9.88671875" style="82" bestFit="1" customWidth="1"/>
    <col min="3844" max="3844" width="8.88671875" style="82" bestFit="1" customWidth="1"/>
    <col min="3845" max="3845" width="7.44140625" style="82" bestFit="1" customWidth="1"/>
    <col min="3846" max="3846" width="8.6640625" style="82" customWidth="1"/>
    <col min="3847" max="3847" width="8" style="82" bestFit="1" customWidth="1"/>
    <col min="3848" max="3849" width="7.44140625" style="82" bestFit="1" customWidth="1"/>
    <col min="3850" max="3850" width="8.88671875" style="82" bestFit="1" customWidth="1"/>
    <col min="3851" max="3854" width="8.44140625" style="82" bestFit="1" customWidth="1"/>
    <col min="3855" max="3855" width="8.88671875" style="82" customWidth="1"/>
    <col min="3856" max="3856" width="10.109375" style="82" bestFit="1" customWidth="1"/>
    <col min="3857" max="4096" width="8" style="82"/>
    <col min="4097" max="4097" width="2.88671875" style="82" customWidth="1"/>
    <col min="4098" max="4098" width="32.44140625" style="82" bestFit="1" customWidth="1"/>
    <col min="4099" max="4099" width="9.88671875" style="82" bestFit="1" customWidth="1"/>
    <col min="4100" max="4100" width="8.88671875" style="82" bestFit="1" customWidth="1"/>
    <col min="4101" max="4101" width="7.44140625" style="82" bestFit="1" customWidth="1"/>
    <col min="4102" max="4102" width="8.6640625" style="82" customWidth="1"/>
    <col min="4103" max="4103" width="8" style="82" bestFit="1" customWidth="1"/>
    <col min="4104" max="4105" width="7.44140625" style="82" bestFit="1" customWidth="1"/>
    <col min="4106" max="4106" width="8.88671875" style="82" bestFit="1" customWidth="1"/>
    <col min="4107" max="4110" width="8.44140625" style="82" bestFit="1" customWidth="1"/>
    <col min="4111" max="4111" width="8.88671875" style="82" customWidth="1"/>
    <col min="4112" max="4112" width="10.109375" style="82" bestFit="1" customWidth="1"/>
    <col min="4113" max="4352" width="8" style="82"/>
    <col min="4353" max="4353" width="2.88671875" style="82" customWidth="1"/>
    <col min="4354" max="4354" width="32.44140625" style="82" bestFit="1" customWidth="1"/>
    <col min="4355" max="4355" width="9.88671875" style="82" bestFit="1" customWidth="1"/>
    <col min="4356" max="4356" width="8.88671875" style="82" bestFit="1" customWidth="1"/>
    <col min="4357" max="4357" width="7.44140625" style="82" bestFit="1" customWidth="1"/>
    <col min="4358" max="4358" width="8.6640625" style="82" customWidth="1"/>
    <col min="4359" max="4359" width="8" style="82" bestFit="1" customWidth="1"/>
    <col min="4360" max="4361" width="7.44140625" style="82" bestFit="1" customWidth="1"/>
    <col min="4362" max="4362" width="8.88671875" style="82" bestFit="1" customWidth="1"/>
    <col min="4363" max="4366" width="8.44140625" style="82" bestFit="1" customWidth="1"/>
    <col min="4367" max="4367" width="8.88671875" style="82" customWidth="1"/>
    <col min="4368" max="4368" width="10.109375" style="82" bestFit="1" customWidth="1"/>
    <col min="4369" max="4608" width="8" style="82"/>
    <col min="4609" max="4609" width="2.88671875" style="82" customWidth="1"/>
    <col min="4610" max="4610" width="32.44140625" style="82" bestFit="1" customWidth="1"/>
    <col min="4611" max="4611" width="9.88671875" style="82" bestFit="1" customWidth="1"/>
    <col min="4612" max="4612" width="8.88671875" style="82" bestFit="1" customWidth="1"/>
    <col min="4613" max="4613" width="7.44140625" style="82" bestFit="1" customWidth="1"/>
    <col min="4614" max="4614" width="8.6640625" style="82" customWidth="1"/>
    <col min="4615" max="4615" width="8" style="82" bestFit="1" customWidth="1"/>
    <col min="4616" max="4617" width="7.44140625" style="82" bestFit="1" customWidth="1"/>
    <col min="4618" max="4618" width="8.88671875" style="82" bestFit="1" customWidth="1"/>
    <col min="4619" max="4622" width="8.44140625" style="82" bestFit="1" customWidth="1"/>
    <col min="4623" max="4623" width="8.88671875" style="82" customWidth="1"/>
    <col min="4624" max="4624" width="10.109375" style="82" bestFit="1" customWidth="1"/>
    <col min="4625" max="4864" width="8" style="82"/>
    <col min="4865" max="4865" width="2.88671875" style="82" customWidth="1"/>
    <col min="4866" max="4866" width="32.44140625" style="82" bestFit="1" customWidth="1"/>
    <col min="4867" max="4867" width="9.88671875" style="82" bestFit="1" customWidth="1"/>
    <col min="4868" max="4868" width="8.88671875" style="82" bestFit="1" customWidth="1"/>
    <col min="4869" max="4869" width="7.44140625" style="82" bestFit="1" customWidth="1"/>
    <col min="4870" max="4870" width="8.6640625" style="82" customWidth="1"/>
    <col min="4871" max="4871" width="8" style="82" bestFit="1" customWidth="1"/>
    <col min="4872" max="4873" width="7.44140625" style="82" bestFit="1" customWidth="1"/>
    <col min="4874" max="4874" width="8.88671875" style="82" bestFit="1" customWidth="1"/>
    <col min="4875" max="4878" width="8.44140625" style="82" bestFit="1" customWidth="1"/>
    <col min="4879" max="4879" width="8.88671875" style="82" customWidth="1"/>
    <col min="4880" max="4880" width="10.109375" style="82" bestFit="1" customWidth="1"/>
    <col min="4881" max="5120" width="8" style="82"/>
    <col min="5121" max="5121" width="2.88671875" style="82" customWidth="1"/>
    <col min="5122" max="5122" width="32.44140625" style="82" bestFit="1" customWidth="1"/>
    <col min="5123" max="5123" width="9.88671875" style="82" bestFit="1" customWidth="1"/>
    <col min="5124" max="5124" width="8.88671875" style="82" bestFit="1" customWidth="1"/>
    <col min="5125" max="5125" width="7.44140625" style="82" bestFit="1" customWidth="1"/>
    <col min="5126" max="5126" width="8.6640625" style="82" customWidth="1"/>
    <col min="5127" max="5127" width="8" style="82" bestFit="1" customWidth="1"/>
    <col min="5128" max="5129" width="7.44140625" style="82" bestFit="1" customWidth="1"/>
    <col min="5130" max="5130" width="8.88671875" style="82" bestFit="1" customWidth="1"/>
    <col min="5131" max="5134" width="8.44140625" style="82" bestFit="1" customWidth="1"/>
    <col min="5135" max="5135" width="8.88671875" style="82" customWidth="1"/>
    <col min="5136" max="5136" width="10.109375" style="82" bestFit="1" customWidth="1"/>
    <col min="5137" max="5376" width="8" style="82"/>
    <col min="5377" max="5377" width="2.88671875" style="82" customWidth="1"/>
    <col min="5378" max="5378" width="32.44140625" style="82" bestFit="1" customWidth="1"/>
    <col min="5379" max="5379" width="9.88671875" style="82" bestFit="1" customWidth="1"/>
    <col min="5380" max="5380" width="8.88671875" style="82" bestFit="1" customWidth="1"/>
    <col min="5381" max="5381" width="7.44140625" style="82" bestFit="1" customWidth="1"/>
    <col min="5382" max="5382" width="8.6640625" style="82" customWidth="1"/>
    <col min="5383" max="5383" width="8" style="82" bestFit="1" customWidth="1"/>
    <col min="5384" max="5385" width="7.44140625" style="82" bestFit="1" customWidth="1"/>
    <col min="5386" max="5386" width="8.88671875" style="82" bestFit="1" customWidth="1"/>
    <col min="5387" max="5390" width="8.44140625" style="82" bestFit="1" customWidth="1"/>
    <col min="5391" max="5391" width="8.88671875" style="82" customWidth="1"/>
    <col min="5392" max="5392" width="10.109375" style="82" bestFit="1" customWidth="1"/>
    <col min="5393" max="5632" width="8" style="82"/>
    <col min="5633" max="5633" width="2.88671875" style="82" customWidth="1"/>
    <col min="5634" max="5634" width="32.44140625" style="82" bestFit="1" customWidth="1"/>
    <col min="5635" max="5635" width="9.88671875" style="82" bestFit="1" customWidth="1"/>
    <col min="5636" max="5636" width="8.88671875" style="82" bestFit="1" customWidth="1"/>
    <col min="5637" max="5637" width="7.44140625" style="82" bestFit="1" customWidth="1"/>
    <col min="5638" max="5638" width="8.6640625" style="82" customWidth="1"/>
    <col min="5639" max="5639" width="8" style="82" bestFit="1" customWidth="1"/>
    <col min="5640" max="5641" width="7.44140625" style="82" bestFit="1" customWidth="1"/>
    <col min="5642" max="5642" width="8.88671875" style="82" bestFit="1" customWidth="1"/>
    <col min="5643" max="5646" width="8.44140625" style="82" bestFit="1" customWidth="1"/>
    <col min="5647" max="5647" width="8.88671875" style="82" customWidth="1"/>
    <col min="5648" max="5648" width="10.109375" style="82" bestFit="1" customWidth="1"/>
    <col min="5649" max="5888" width="8" style="82"/>
    <col min="5889" max="5889" width="2.88671875" style="82" customWidth="1"/>
    <col min="5890" max="5890" width="32.44140625" style="82" bestFit="1" customWidth="1"/>
    <col min="5891" max="5891" width="9.88671875" style="82" bestFit="1" customWidth="1"/>
    <col min="5892" max="5892" width="8.88671875" style="82" bestFit="1" customWidth="1"/>
    <col min="5893" max="5893" width="7.44140625" style="82" bestFit="1" customWidth="1"/>
    <col min="5894" max="5894" width="8.6640625" style="82" customWidth="1"/>
    <col min="5895" max="5895" width="8" style="82" bestFit="1" customWidth="1"/>
    <col min="5896" max="5897" width="7.44140625" style="82" bestFit="1" customWidth="1"/>
    <col min="5898" max="5898" width="8.88671875" style="82" bestFit="1" customWidth="1"/>
    <col min="5899" max="5902" width="8.44140625" style="82" bestFit="1" customWidth="1"/>
    <col min="5903" max="5903" width="8.88671875" style="82" customWidth="1"/>
    <col min="5904" max="5904" width="10.109375" style="82" bestFit="1" customWidth="1"/>
    <col min="5905" max="6144" width="8" style="82"/>
    <col min="6145" max="6145" width="2.88671875" style="82" customWidth="1"/>
    <col min="6146" max="6146" width="32.44140625" style="82" bestFit="1" customWidth="1"/>
    <col min="6147" max="6147" width="9.88671875" style="82" bestFit="1" customWidth="1"/>
    <col min="6148" max="6148" width="8.88671875" style="82" bestFit="1" customWidth="1"/>
    <col min="6149" max="6149" width="7.44140625" style="82" bestFit="1" customWidth="1"/>
    <col min="6150" max="6150" width="8.6640625" style="82" customWidth="1"/>
    <col min="6151" max="6151" width="8" style="82" bestFit="1" customWidth="1"/>
    <col min="6152" max="6153" width="7.44140625" style="82" bestFit="1" customWidth="1"/>
    <col min="6154" max="6154" width="8.88671875" style="82" bestFit="1" customWidth="1"/>
    <col min="6155" max="6158" width="8.44140625" style="82" bestFit="1" customWidth="1"/>
    <col min="6159" max="6159" width="8.88671875" style="82" customWidth="1"/>
    <col min="6160" max="6160" width="10.109375" style="82" bestFit="1" customWidth="1"/>
    <col min="6161" max="6400" width="8" style="82"/>
    <col min="6401" max="6401" width="2.88671875" style="82" customWidth="1"/>
    <col min="6402" max="6402" width="32.44140625" style="82" bestFit="1" customWidth="1"/>
    <col min="6403" max="6403" width="9.88671875" style="82" bestFit="1" customWidth="1"/>
    <col min="6404" max="6404" width="8.88671875" style="82" bestFit="1" customWidth="1"/>
    <col min="6405" max="6405" width="7.44140625" style="82" bestFit="1" customWidth="1"/>
    <col min="6406" max="6406" width="8.6640625" style="82" customWidth="1"/>
    <col min="6407" max="6407" width="8" style="82" bestFit="1" customWidth="1"/>
    <col min="6408" max="6409" width="7.44140625" style="82" bestFit="1" customWidth="1"/>
    <col min="6410" max="6410" width="8.88671875" style="82" bestFit="1" customWidth="1"/>
    <col min="6411" max="6414" width="8.44140625" style="82" bestFit="1" customWidth="1"/>
    <col min="6415" max="6415" width="8.88671875" style="82" customWidth="1"/>
    <col min="6416" max="6416" width="10.109375" style="82" bestFit="1" customWidth="1"/>
    <col min="6417" max="6656" width="8" style="82"/>
    <col min="6657" max="6657" width="2.88671875" style="82" customWidth="1"/>
    <col min="6658" max="6658" width="32.44140625" style="82" bestFit="1" customWidth="1"/>
    <col min="6659" max="6659" width="9.88671875" style="82" bestFit="1" customWidth="1"/>
    <col min="6660" max="6660" width="8.88671875" style="82" bestFit="1" customWidth="1"/>
    <col min="6661" max="6661" width="7.44140625" style="82" bestFit="1" customWidth="1"/>
    <col min="6662" max="6662" width="8.6640625" style="82" customWidth="1"/>
    <col min="6663" max="6663" width="8" style="82" bestFit="1" customWidth="1"/>
    <col min="6664" max="6665" width="7.44140625" style="82" bestFit="1" customWidth="1"/>
    <col min="6666" max="6666" width="8.88671875" style="82" bestFit="1" customWidth="1"/>
    <col min="6667" max="6670" width="8.44140625" style="82" bestFit="1" customWidth="1"/>
    <col min="6671" max="6671" width="8.88671875" style="82" customWidth="1"/>
    <col min="6672" max="6672" width="10.109375" style="82" bestFit="1" customWidth="1"/>
    <col min="6673" max="6912" width="8" style="82"/>
    <col min="6913" max="6913" width="2.88671875" style="82" customWidth="1"/>
    <col min="6914" max="6914" width="32.44140625" style="82" bestFit="1" customWidth="1"/>
    <col min="6915" max="6915" width="9.88671875" style="82" bestFit="1" customWidth="1"/>
    <col min="6916" max="6916" width="8.88671875" style="82" bestFit="1" customWidth="1"/>
    <col min="6917" max="6917" width="7.44140625" style="82" bestFit="1" customWidth="1"/>
    <col min="6918" max="6918" width="8.6640625" style="82" customWidth="1"/>
    <col min="6919" max="6919" width="8" style="82" bestFit="1" customWidth="1"/>
    <col min="6920" max="6921" width="7.44140625" style="82" bestFit="1" customWidth="1"/>
    <col min="6922" max="6922" width="8.88671875" style="82" bestFit="1" customWidth="1"/>
    <col min="6923" max="6926" width="8.44140625" style="82" bestFit="1" customWidth="1"/>
    <col min="6927" max="6927" width="8.88671875" style="82" customWidth="1"/>
    <col min="6928" max="6928" width="10.109375" style="82" bestFit="1" customWidth="1"/>
    <col min="6929" max="7168" width="8" style="82"/>
    <col min="7169" max="7169" width="2.88671875" style="82" customWidth="1"/>
    <col min="7170" max="7170" width="32.44140625" style="82" bestFit="1" customWidth="1"/>
    <col min="7171" max="7171" width="9.88671875" style="82" bestFit="1" customWidth="1"/>
    <col min="7172" max="7172" width="8.88671875" style="82" bestFit="1" customWidth="1"/>
    <col min="7173" max="7173" width="7.44140625" style="82" bestFit="1" customWidth="1"/>
    <col min="7174" max="7174" width="8.6640625" style="82" customWidth="1"/>
    <col min="7175" max="7175" width="8" style="82" bestFit="1" customWidth="1"/>
    <col min="7176" max="7177" width="7.44140625" style="82" bestFit="1" customWidth="1"/>
    <col min="7178" max="7178" width="8.88671875" style="82" bestFit="1" customWidth="1"/>
    <col min="7179" max="7182" width="8.44140625" style="82" bestFit="1" customWidth="1"/>
    <col min="7183" max="7183" width="8.88671875" style="82" customWidth="1"/>
    <col min="7184" max="7184" width="10.109375" style="82" bestFit="1" customWidth="1"/>
    <col min="7185" max="7424" width="8" style="82"/>
    <col min="7425" max="7425" width="2.88671875" style="82" customWidth="1"/>
    <col min="7426" max="7426" width="32.44140625" style="82" bestFit="1" customWidth="1"/>
    <col min="7427" max="7427" width="9.88671875" style="82" bestFit="1" customWidth="1"/>
    <col min="7428" max="7428" width="8.88671875" style="82" bestFit="1" customWidth="1"/>
    <col min="7429" max="7429" width="7.44140625" style="82" bestFit="1" customWidth="1"/>
    <col min="7430" max="7430" width="8.6640625" style="82" customWidth="1"/>
    <col min="7431" max="7431" width="8" style="82" bestFit="1" customWidth="1"/>
    <col min="7432" max="7433" width="7.44140625" style="82" bestFit="1" customWidth="1"/>
    <col min="7434" max="7434" width="8.88671875" style="82" bestFit="1" customWidth="1"/>
    <col min="7435" max="7438" width="8.44140625" style="82" bestFit="1" customWidth="1"/>
    <col min="7439" max="7439" width="8.88671875" style="82" customWidth="1"/>
    <col min="7440" max="7440" width="10.109375" style="82" bestFit="1" customWidth="1"/>
    <col min="7441" max="7680" width="8" style="82"/>
    <col min="7681" max="7681" width="2.88671875" style="82" customWidth="1"/>
    <col min="7682" max="7682" width="32.44140625" style="82" bestFit="1" customWidth="1"/>
    <col min="7683" max="7683" width="9.88671875" style="82" bestFit="1" customWidth="1"/>
    <col min="7684" max="7684" width="8.88671875" style="82" bestFit="1" customWidth="1"/>
    <col min="7685" max="7685" width="7.44140625" style="82" bestFit="1" customWidth="1"/>
    <col min="7686" max="7686" width="8.6640625" style="82" customWidth="1"/>
    <col min="7687" max="7687" width="8" style="82" bestFit="1" customWidth="1"/>
    <col min="7688" max="7689" width="7.44140625" style="82" bestFit="1" customWidth="1"/>
    <col min="7690" max="7690" width="8.88671875" style="82" bestFit="1" customWidth="1"/>
    <col min="7691" max="7694" width="8.44140625" style="82" bestFit="1" customWidth="1"/>
    <col min="7695" max="7695" width="8.88671875" style="82" customWidth="1"/>
    <col min="7696" max="7696" width="10.109375" style="82" bestFit="1" customWidth="1"/>
    <col min="7697" max="7936" width="8" style="82"/>
    <col min="7937" max="7937" width="2.88671875" style="82" customWidth="1"/>
    <col min="7938" max="7938" width="32.44140625" style="82" bestFit="1" customWidth="1"/>
    <col min="7939" max="7939" width="9.88671875" style="82" bestFit="1" customWidth="1"/>
    <col min="7940" max="7940" width="8.88671875" style="82" bestFit="1" customWidth="1"/>
    <col min="7941" max="7941" width="7.44140625" style="82" bestFit="1" customWidth="1"/>
    <col min="7942" max="7942" width="8.6640625" style="82" customWidth="1"/>
    <col min="7943" max="7943" width="8" style="82" bestFit="1" customWidth="1"/>
    <col min="7944" max="7945" width="7.44140625" style="82" bestFit="1" customWidth="1"/>
    <col min="7946" max="7946" width="8.88671875" style="82" bestFit="1" customWidth="1"/>
    <col min="7947" max="7950" width="8.44140625" style="82" bestFit="1" customWidth="1"/>
    <col min="7951" max="7951" width="8.88671875" style="82" customWidth="1"/>
    <col min="7952" max="7952" width="10.109375" style="82" bestFit="1" customWidth="1"/>
    <col min="7953" max="8192" width="8" style="82"/>
    <col min="8193" max="8193" width="2.88671875" style="82" customWidth="1"/>
    <col min="8194" max="8194" width="32.44140625" style="82" bestFit="1" customWidth="1"/>
    <col min="8195" max="8195" width="9.88671875" style="82" bestFit="1" customWidth="1"/>
    <col min="8196" max="8196" width="8.88671875" style="82" bestFit="1" customWidth="1"/>
    <col min="8197" max="8197" width="7.44140625" style="82" bestFit="1" customWidth="1"/>
    <col min="8198" max="8198" width="8.6640625" style="82" customWidth="1"/>
    <col min="8199" max="8199" width="8" style="82" bestFit="1" customWidth="1"/>
    <col min="8200" max="8201" width="7.44140625" style="82" bestFit="1" customWidth="1"/>
    <col min="8202" max="8202" width="8.88671875" style="82" bestFit="1" customWidth="1"/>
    <col min="8203" max="8206" width="8.44140625" style="82" bestFit="1" customWidth="1"/>
    <col min="8207" max="8207" width="8.88671875" style="82" customWidth="1"/>
    <col min="8208" max="8208" width="10.109375" style="82" bestFit="1" customWidth="1"/>
    <col min="8209" max="8448" width="8" style="82"/>
    <col min="8449" max="8449" width="2.88671875" style="82" customWidth="1"/>
    <col min="8450" max="8450" width="32.44140625" style="82" bestFit="1" customWidth="1"/>
    <col min="8451" max="8451" width="9.88671875" style="82" bestFit="1" customWidth="1"/>
    <col min="8452" max="8452" width="8.88671875" style="82" bestFit="1" customWidth="1"/>
    <col min="8453" max="8453" width="7.44140625" style="82" bestFit="1" customWidth="1"/>
    <col min="8454" max="8454" width="8.6640625" style="82" customWidth="1"/>
    <col min="8455" max="8455" width="8" style="82" bestFit="1" customWidth="1"/>
    <col min="8456" max="8457" width="7.44140625" style="82" bestFit="1" customWidth="1"/>
    <col min="8458" max="8458" width="8.88671875" style="82" bestFit="1" customWidth="1"/>
    <col min="8459" max="8462" width="8.44140625" style="82" bestFit="1" customWidth="1"/>
    <col min="8463" max="8463" width="8.88671875" style="82" customWidth="1"/>
    <col min="8464" max="8464" width="10.109375" style="82" bestFit="1" customWidth="1"/>
    <col min="8465" max="8704" width="8" style="82"/>
    <col min="8705" max="8705" width="2.88671875" style="82" customWidth="1"/>
    <col min="8706" max="8706" width="32.44140625" style="82" bestFit="1" customWidth="1"/>
    <col min="8707" max="8707" width="9.88671875" style="82" bestFit="1" customWidth="1"/>
    <col min="8708" max="8708" width="8.88671875" style="82" bestFit="1" customWidth="1"/>
    <col min="8709" max="8709" width="7.44140625" style="82" bestFit="1" customWidth="1"/>
    <col min="8710" max="8710" width="8.6640625" style="82" customWidth="1"/>
    <col min="8711" max="8711" width="8" style="82" bestFit="1" customWidth="1"/>
    <col min="8712" max="8713" width="7.44140625" style="82" bestFit="1" customWidth="1"/>
    <col min="8714" max="8714" width="8.88671875" style="82" bestFit="1" customWidth="1"/>
    <col min="8715" max="8718" width="8.44140625" style="82" bestFit="1" customWidth="1"/>
    <col min="8719" max="8719" width="8.88671875" style="82" customWidth="1"/>
    <col min="8720" max="8720" width="10.109375" style="82" bestFit="1" customWidth="1"/>
    <col min="8721" max="8960" width="8" style="82"/>
    <col min="8961" max="8961" width="2.88671875" style="82" customWidth="1"/>
    <col min="8962" max="8962" width="32.44140625" style="82" bestFit="1" customWidth="1"/>
    <col min="8963" max="8963" width="9.88671875" style="82" bestFit="1" customWidth="1"/>
    <col min="8964" max="8964" width="8.88671875" style="82" bestFit="1" customWidth="1"/>
    <col min="8965" max="8965" width="7.44140625" style="82" bestFit="1" customWidth="1"/>
    <col min="8966" max="8966" width="8.6640625" style="82" customWidth="1"/>
    <col min="8967" max="8967" width="8" style="82" bestFit="1" customWidth="1"/>
    <col min="8968" max="8969" width="7.44140625" style="82" bestFit="1" customWidth="1"/>
    <col min="8970" max="8970" width="8.88671875" style="82" bestFit="1" customWidth="1"/>
    <col min="8971" max="8974" width="8.44140625" style="82" bestFit="1" customWidth="1"/>
    <col min="8975" max="8975" width="8.88671875" style="82" customWidth="1"/>
    <col min="8976" max="8976" width="10.109375" style="82" bestFit="1" customWidth="1"/>
    <col min="8977" max="9216" width="8" style="82"/>
    <col min="9217" max="9217" width="2.88671875" style="82" customWidth="1"/>
    <col min="9218" max="9218" width="32.44140625" style="82" bestFit="1" customWidth="1"/>
    <col min="9219" max="9219" width="9.88671875" style="82" bestFit="1" customWidth="1"/>
    <col min="9220" max="9220" width="8.88671875" style="82" bestFit="1" customWidth="1"/>
    <col min="9221" max="9221" width="7.44140625" style="82" bestFit="1" customWidth="1"/>
    <col min="9222" max="9222" width="8.6640625" style="82" customWidth="1"/>
    <col min="9223" max="9223" width="8" style="82" bestFit="1" customWidth="1"/>
    <col min="9224" max="9225" width="7.44140625" style="82" bestFit="1" customWidth="1"/>
    <col min="9226" max="9226" width="8.88671875" style="82" bestFit="1" customWidth="1"/>
    <col min="9227" max="9230" width="8.44140625" style="82" bestFit="1" customWidth="1"/>
    <col min="9231" max="9231" width="8.88671875" style="82" customWidth="1"/>
    <col min="9232" max="9232" width="10.109375" style="82" bestFit="1" customWidth="1"/>
    <col min="9233" max="9472" width="8" style="82"/>
    <col min="9473" max="9473" width="2.88671875" style="82" customWidth="1"/>
    <col min="9474" max="9474" width="32.44140625" style="82" bestFit="1" customWidth="1"/>
    <col min="9475" max="9475" width="9.88671875" style="82" bestFit="1" customWidth="1"/>
    <col min="9476" max="9476" width="8.88671875" style="82" bestFit="1" customWidth="1"/>
    <col min="9477" max="9477" width="7.44140625" style="82" bestFit="1" customWidth="1"/>
    <col min="9478" max="9478" width="8.6640625" style="82" customWidth="1"/>
    <col min="9479" max="9479" width="8" style="82" bestFit="1" customWidth="1"/>
    <col min="9480" max="9481" width="7.44140625" style="82" bestFit="1" customWidth="1"/>
    <col min="9482" max="9482" width="8.88671875" style="82" bestFit="1" customWidth="1"/>
    <col min="9483" max="9486" width="8.44140625" style="82" bestFit="1" customWidth="1"/>
    <col min="9487" max="9487" width="8.88671875" style="82" customWidth="1"/>
    <col min="9488" max="9488" width="10.109375" style="82" bestFit="1" customWidth="1"/>
    <col min="9489" max="9728" width="8" style="82"/>
    <col min="9729" max="9729" width="2.88671875" style="82" customWidth="1"/>
    <col min="9730" max="9730" width="32.44140625" style="82" bestFit="1" customWidth="1"/>
    <col min="9731" max="9731" width="9.88671875" style="82" bestFit="1" customWidth="1"/>
    <col min="9732" max="9732" width="8.88671875" style="82" bestFit="1" customWidth="1"/>
    <col min="9733" max="9733" width="7.44140625" style="82" bestFit="1" customWidth="1"/>
    <col min="9734" max="9734" width="8.6640625" style="82" customWidth="1"/>
    <col min="9735" max="9735" width="8" style="82" bestFit="1" customWidth="1"/>
    <col min="9736" max="9737" width="7.44140625" style="82" bestFit="1" customWidth="1"/>
    <col min="9738" max="9738" width="8.88671875" style="82" bestFit="1" customWidth="1"/>
    <col min="9739" max="9742" width="8.44140625" style="82" bestFit="1" customWidth="1"/>
    <col min="9743" max="9743" width="8.88671875" style="82" customWidth="1"/>
    <col min="9744" max="9744" width="10.109375" style="82" bestFit="1" customWidth="1"/>
    <col min="9745" max="9984" width="8" style="82"/>
    <col min="9985" max="9985" width="2.88671875" style="82" customWidth="1"/>
    <col min="9986" max="9986" width="32.44140625" style="82" bestFit="1" customWidth="1"/>
    <col min="9987" max="9987" width="9.88671875" style="82" bestFit="1" customWidth="1"/>
    <col min="9988" max="9988" width="8.88671875" style="82" bestFit="1" customWidth="1"/>
    <col min="9989" max="9989" width="7.44140625" style="82" bestFit="1" customWidth="1"/>
    <col min="9990" max="9990" width="8.6640625" style="82" customWidth="1"/>
    <col min="9991" max="9991" width="8" style="82" bestFit="1" customWidth="1"/>
    <col min="9992" max="9993" width="7.44140625" style="82" bestFit="1" customWidth="1"/>
    <col min="9994" max="9994" width="8.88671875" style="82" bestFit="1" customWidth="1"/>
    <col min="9995" max="9998" width="8.44140625" style="82" bestFit="1" customWidth="1"/>
    <col min="9999" max="9999" width="8.88671875" style="82" customWidth="1"/>
    <col min="10000" max="10000" width="10.109375" style="82" bestFit="1" customWidth="1"/>
    <col min="10001" max="10240" width="8" style="82"/>
    <col min="10241" max="10241" width="2.88671875" style="82" customWidth="1"/>
    <col min="10242" max="10242" width="32.44140625" style="82" bestFit="1" customWidth="1"/>
    <col min="10243" max="10243" width="9.88671875" style="82" bestFit="1" customWidth="1"/>
    <col min="10244" max="10244" width="8.88671875" style="82" bestFit="1" customWidth="1"/>
    <col min="10245" max="10245" width="7.44140625" style="82" bestFit="1" customWidth="1"/>
    <col min="10246" max="10246" width="8.6640625" style="82" customWidth="1"/>
    <col min="10247" max="10247" width="8" style="82" bestFit="1" customWidth="1"/>
    <col min="10248" max="10249" width="7.44140625" style="82" bestFit="1" customWidth="1"/>
    <col min="10250" max="10250" width="8.88671875" style="82" bestFit="1" customWidth="1"/>
    <col min="10251" max="10254" width="8.44140625" style="82" bestFit="1" customWidth="1"/>
    <col min="10255" max="10255" width="8.88671875" style="82" customWidth="1"/>
    <col min="10256" max="10256" width="10.109375" style="82" bestFit="1" customWidth="1"/>
    <col min="10257" max="10496" width="8" style="82"/>
    <col min="10497" max="10497" width="2.88671875" style="82" customWidth="1"/>
    <col min="10498" max="10498" width="32.44140625" style="82" bestFit="1" customWidth="1"/>
    <col min="10499" max="10499" width="9.88671875" style="82" bestFit="1" customWidth="1"/>
    <col min="10500" max="10500" width="8.88671875" style="82" bestFit="1" customWidth="1"/>
    <col min="10501" max="10501" width="7.44140625" style="82" bestFit="1" customWidth="1"/>
    <col min="10502" max="10502" width="8.6640625" style="82" customWidth="1"/>
    <col min="10503" max="10503" width="8" style="82" bestFit="1" customWidth="1"/>
    <col min="10504" max="10505" width="7.44140625" style="82" bestFit="1" customWidth="1"/>
    <col min="10506" max="10506" width="8.88671875" style="82" bestFit="1" customWidth="1"/>
    <col min="10507" max="10510" width="8.44140625" style="82" bestFit="1" customWidth="1"/>
    <col min="10511" max="10511" width="8.88671875" style="82" customWidth="1"/>
    <col min="10512" max="10512" width="10.109375" style="82" bestFit="1" customWidth="1"/>
    <col min="10513" max="10752" width="8" style="82"/>
    <col min="10753" max="10753" width="2.88671875" style="82" customWidth="1"/>
    <col min="10754" max="10754" width="32.44140625" style="82" bestFit="1" customWidth="1"/>
    <col min="10755" max="10755" width="9.88671875" style="82" bestFit="1" customWidth="1"/>
    <col min="10756" max="10756" width="8.88671875" style="82" bestFit="1" customWidth="1"/>
    <col min="10757" max="10757" width="7.44140625" style="82" bestFit="1" customWidth="1"/>
    <col min="10758" max="10758" width="8.6640625" style="82" customWidth="1"/>
    <col min="10759" max="10759" width="8" style="82" bestFit="1" customWidth="1"/>
    <col min="10760" max="10761" width="7.44140625" style="82" bestFit="1" customWidth="1"/>
    <col min="10762" max="10762" width="8.88671875" style="82" bestFit="1" customWidth="1"/>
    <col min="10763" max="10766" width="8.44140625" style="82" bestFit="1" customWidth="1"/>
    <col min="10767" max="10767" width="8.88671875" style="82" customWidth="1"/>
    <col min="10768" max="10768" width="10.109375" style="82" bestFit="1" customWidth="1"/>
    <col min="10769" max="11008" width="8" style="82"/>
    <col min="11009" max="11009" width="2.88671875" style="82" customWidth="1"/>
    <col min="11010" max="11010" width="32.44140625" style="82" bestFit="1" customWidth="1"/>
    <col min="11011" max="11011" width="9.88671875" style="82" bestFit="1" customWidth="1"/>
    <col min="11012" max="11012" width="8.88671875" style="82" bestFit="1" customWidth="1"/>
    <col min="11013" max="11013" width="7.44140625" style="82" bestFit="1" customWidth="1"/>
    <col min="11014" max="11014" width="8.6640625" style="82" customWidth="1"/>
    <col min="11015" max="11015" width="8" style="82" bestFit="1" customWidth="1"/>
    <col min="11016" max="11017" width="7.44140625" style="82" bestFit="1" customWidth="1"/>
    <col min="11018" max="11018" width="8.88671875" style="82" bestFit="1" customWidth="1"/>
    <col min="11019" max="11022" width="8.44140625" style="82" bestFit="1" customWidth="1"/>
    <col min="11023" max="11023" width="8.88671875" style="82" customWidth="1"/>
    <col min="11024" max="11024" width="10.109375" style="82" bestFit="1" customWidth="1"/>
    <col min="11025" max="11264" width="8" style="82"/>
    <col min="11265" max="11265" width="2.88671875" style="82" customWidth="1"/>
    <col min="11266" max="11266" width="32.44140625" style="82" bestFit="1" customWidth="1"/>
    <col min="11267" max="11267" width="9.88671875" style="82" bestFit="1" customWidth="1"/>
    <col min="11268" max="11268" width="8.88671875" style="82" bestFit="1" customWidth="1"/>
    <col min="11269" max="11269" width="7.44140625" style="82" bestFit="1" customWidth="1"/>
    <col min="11270" max="11270" width="8.6640625" style="82" customWidth="1"/>
    <col min="11271" max="11271" width="8" style="82" bestFit="1" customWidth="1"/>
    <col min="11272" max="11273" width="7.44140625" style="82" bestFit="1" customWidth="1"/>
    <col min="11274" max="11274" width="8.88671875" style="82" bestFit="1" customWidth="1"/>
    <col min="11275" max="11278" width="8.44140625" style="82" bestFit="1" customWidth="1"/>
    <col min="11279" max="11279" width="8.88671875" style="82" customWidth="1"/>
    <col min="11280" max="11280" width="10.109375" style="82" bestFit="1" customWidth="1"/>
    <col min="11281" max="11520" width="8" style="82"/>
    <col min="11521" max="11521" width="2.88671875" style="82" customWidth="1"/>
    <col min="11522" max="11522" width="32.44140625" style="82" bestFit="1" customWidth="1"/>
    <col min="11523" max="11523" width="9.88671875" style="82" bestFit="1" customWidth="1"/>
    <col min="11524" max="11524" width="8.88671875" style="82" bestFit="1" customWidth="1"/>
    <col min="11525" max="11525" width="7.44140625" style="82" bestFit="1" customWidth="1"/>
    <col min="11526" max="11526" width="8.6640625" style="82" customWidth="1"/>
    <col min="11527" max="11527" width="8" style="82" bestFit="1" customWidth="1"/>
    <col min="11528" max="11529" width="7.44140625" style="82" bestFit="1" customWidth="1"/>
    <col min="11530" max="11530" width="8.88671875" style="82" bestFit="1" customWidth="1"/>
    <col min="11531" max="11534" width="8.44140625" style="82" bestFit="1" customWidth="1"/>
    <col min="11535" max="11535" width="8.88671875" style="82" customWidth="1"/>
    <col min="11536" max="11536" width="10.109375" style="82" bestFit="1" customWidth="1"/>
    <col min="11537" max="11776" width="8" style="82"/>
    <col min="11777" max="11777" width="2.88671875" style="82" customWidth="1"/>
    <col min="11778" max="11778" width="32.44140625" style="82" bestFit="1" customWidth="1"/>
    <col min="11779" max="11779" width="9.88671875" style="82" bestFit="1" customWidth="1"/>
    <col min="11780" max="11780" width="8.88671875" style="82" bestFit="1" customWidth="1"/>
    <col min="11781" max="11781" width="7.44140625" style="82" bestFit="1" customWidth="1"/>
    <col min="11782" max="11782" width="8.6640625" style="82" customWidth="1"/>
    <col min="11783" max="11783" width="8" style="82" bestFit="1" customWidth="1"/>
    <col min="11784" max="11785" width="7.44140625" style="82" bestFit="1" customWidth="1"/>
    <col min="11786" max="11786" width="8.88671875" style="82" bestFit="1" customWidth="1"/>
    <col min="11787" max="11790" width="8.44140625" style="82" bestFit="1" customWidth="1"/>
    <col min="11791" max="11791" width="8.88671875" style="82" customWidth="1"/>
    <col min="11792" max="11792" width="10.109375" style="82" bestFit="1" customWidth="1"/>
    <col min="11793" max="12032" width="8" style="82"/>
    <col min="12033" max="12033" width="2.88671875" style="82" customWidth="1"/>
    <col min="12034" max="12034" width="32.44140625" style="82" bestFit="1" customWidth="1"/>
    <col min="12035" max="12035" width="9.88671875" style="82" bestFit="1" customWidth="1"/>
    <col min="12036" max="12036" width="8.88671875" style="82" bestFit="1" customWidth="1"/>
    <col min="12037" max="12037" width="7.44140625" style="82" bestFit="1" customWidth="1"/>
    <col min="12038" max="12038" width="8.6640625" style="82" customWidth="1"/>
    <col min="12039" max="12039" width="8" style="82" bestFit="1" customWidth="1"/>
    <col min="12040" max="12041" width="7.44140625" style="82" bestFit="1" customWidth="1"/>
    <col min="12042" max="12042" width="8.88671875" style="82" bestFit="1" customWidth="1"/>
    <col min="12043" max="12046" width="8.44140625" style="82" bestFit="1" customWidth="1"/>
    <col min="12047" max="12047" width="8.88671875" style="82" customWidth="1"/>
    <col min="12048" max="12048" width="10.109375" style="82" bestFit="1" customWidth="1"/>
    <col min="12049" max="12288" width="8" style="82"/>
    <col min="12289" max="12289" width="2.88671875" style="82" customWidth="1"/>
    <col min="12290" max="12290" width="32.44140625" style="82" bestFit="1" customWidth="1"/>
    <col min="12291" max="12291" width="9.88671875" style="82" bestFit="1" customWidth="1"/>
    <col min="12292" max="12292" width="8.88671875" style="82" bestFit="1" customWidth="1"/>
    <col min="12293" max="12293" width="7.44140625" style="82" bestFit="1" customWidth="1"/>
    <col min="12294" max="12294" width="8.6640625" style="82" customWidth="1"/>
    <col min="12295" max="12295" width="8" style="82" bestFit="1" customWidth="1"/>
    <col min="12296" max="12297" width="7.44140625" style="82" bestFit="1" customWidth="1"/>
    <col min="12298" max="12298" width="8.88671875" style="82" bestFit="1" customWidth="1"/>
    <col min="12299" max="12302" width="8.44140625" style="82" bestFit="1" customWidth="1"/>
    <col min="12303" max="12303" width="8.88671875" style="82" customWidth="1"/>
    <col min="12304" max="12304" width="10.109375" style="82" bestFit="1" customWidth="1"/>
    <col min="12305" max="12544" width="8" style="82"/>
    <col min="12545" max="12545" width="2.88671875" style="82" customWidth="1"/>
    <col min="12546" max="12546" width="32.44140625" style="82" bestFit="1" customWidth="1"/>
    <col min="12547" max="12547" width="9.88671875" style="82" bestFit="1" customWidth="1"/>
    <col min="12548" max="12548" width="8.88671875" style="82" bestFit="1" customWidth="1"/>
    <col min="12549" max="12549" width="7.44140625" style="82" bestFit="1" customWidth="1"/>
    <col min="12550" max="12550" width="8.6640625" style="82" customWidth="1"/>
    <col min="12551" max="12551" width="8" style="82" bestFit="1" customWidth="1"/>
    <col min="12552" max="12553" width="7.44140625" style="82" bestFit="1" customWidth="1"/>
    <col min="12554" max="12554" width="8.88671875" style="82" bestFit="1" customWidth="1"/>
    <col min="12555" max="12558" width="8.44140625" style="82" bestFit="1" customWidth="1"/>
    <col min="12559" max="12559" width="8.88671875" style="82" customWidth="1"/>
    <col min="12560" max="12560" width="10.109375" style="82" bestFit="1" customWidth="1"/>
    <col min="12561" max="12800" width="8" style="82"/>
    <col min="12801" max="12801" width="2.88671875" style="82" customWidth="1"/>
    <col min="12802" max="12802" width="32.44140625" style="82" bestFit="1" customWidth="1"/>
    <col min="12803" max="12803" width="9.88671875" style="82" bestFit="1" customWidth="1"/>
    <col min="12804" max="12804" width="8.88671875" style="82" bestFit="1" customWidth="1"/>
    <col min="12805" max="12805" width="7.44140625" style="82" bestFit="1" customWidth="1"/>
    <col min="12806" max="12806" width="8.6640625" style="82" customWidth="1"/>
    <col min="12807" max="12807" width="8" style="82" bestFit="1" customWidth="1"/>
    <col min="12808" max="12809" width="7.44140625" style="82" bestFit="1" customWidth="1"/>
    <col min="12810" max="12810" width="8.88671875" style="82" bestFit="1" customWidth="1"/>
    <col min="12811" max="12814" width="8.44140625" style="82" bestFit="1" customWidth="1"/>
    <col min="12815" max="12815" width="8.88671875" style="82" customWidth="1"/>
    <col min="12816" max="12816" width="10.109375" style="82" bestFit="1" customWidth="1"/>
    <col min="12817" max="13056" width="8" style="82"/>
    <col min="13057" max="13057" width="2.88671875" style="82" customWidth="1"/>
    <col min="13058" max="13058" width="32.44140625" style="82" bestFit="1" customWidth="1"/>
    <col min="13059" max="13059" width="9.88671875" style="82" bestFit="1" customWidth="1"/>
    <col min="13060" max="13060" width="8.88671875" style="82" bestFit="1" customWidth="1"/>
    <col min="13061" max="13061" width="7.44140625" style="82" bestFit="1" customWidth="1"/>
    <col min="13062" max="13062" width="8.6640625" style="82" customWidth="1"/>
    <col min="13063" max="13063" width="8" style="82" bestFit="1" customWidth="1"/>
    <col min="13064" max="13065" width="7.44140625" style="82" bestFit="1" customWidth="1"/>
    <col min="13066" max="13066" width="8.88671875" style="82" bestFit="1" customWidth="1"/>
    <col min="13067" max="13070" width="8.44140625" style="82" bestFit="1" customWidth="1"/>
    <col min="13071" max="13071" width="8.88671875" style="82" customWidth="1"/>
    <col min="13072" max="13072" width="10.109375" style="82" bestFit="1" customWidth="1"/>
    <col min="13073" max="13312" width="8" style="82"/>
    <col min="13313" max="13313" width="2.88671875" style="82" customWidth="1"/>
    <col min="13314" max="13314" width="32.44140625" style="82" bestFit="1" customWidth="1"/>
    <col min="13315" max="13315" width="9.88671875" style="82" bestFit="1" customWidth="1"/>
    <col min="13316" max="13316" width="8.88671875" style="82" bestFit="1" customWidth="1"/>
    <col min="13317" max="13317" width="7.44140625" style="82" bestFit="1" customWidth="1"/>
    <col min="13318" max="13318" width="8.6640625" style="82" customWidth="1"/>
    <col min="13319" max="13319" width="8" style="82" bestFit="1" customWidth="1"/>
    <col min="13320" max="13321" width="7.44140625" style="82" bestFit="1" customWidth="1"/>
    <col min="13322" max="13322" width="8.88671875" style="82" bestFit="1" customWidth="1"/>
    <col min="13323" max="13326" width="8.44140625" style="82" bestFit="1" customWidth="1"/>
    <col min="13327" max="13327" width="8.88671875" style="82" customWidth="1"/>
    <col min="13328" max="13328" width="10.109375" style="82" bestFit="1" customWidth="1"/>
    <col min="13329" max="13568" width="8" style="82"/>
    <col min="13569" max="13569" width="2.88671875" style="82" customWidth="1"/>
    <col min="13570" max="13570" width="32.44140625" style="82" bestFit="1" customWidth="1"/>
    <col min="13571" max="13571" width="9.88671875" style="82" bestFit="1" customWidth="1"/>
    <col min="13572" max="13572" width="8.88671875" style="82" bestFit="1" customWidth="1"/>
    <col min="13573" max="13573" width="7.44140625" style="82" bestFit="1" customWidth="1"/>
    <col min="13574" max="13574" width="8.6640625" style="82" customWidth="1"/>
    <col min="13575" max="13575" width="8" style="82" bestFit="1" customWidth="1"/>
    <col min="13576" max="13577" width="7.44140625" style="82" bestFit="1" customWidth="1"/>
    <col min="13578" max="13578" width="8.88671875" style="82" bestFit="1" customWidth="1"/>
    <col min="13579" max="13582" width="8.44140625" style="82" bestFit="1" customWidth="1"/>
    <col min="13583" max="13583" width="8.88671875" style="82" customWidth="1"/>
    <col min="13584" max="13584" width="10.109375" style="82" bestFit="1" customWidth="1"/>
    <col min="13585" max="13824" width="8" style="82"/>
    <col min="13825" max="13825" width="2.88671875" style="82" customWidth="1"/>
    <col min="13826" max="13826" width="32.44140625" style="82" bestFit="1" customWidth="1"/>
    <col min="13827" max="13827" width="9.88671875" style="82" bestFit="1" customWidth="1"/>
    <col min="13828" max="13828" width="8.88671875" style="82" bestFit="1" customWidth="1"/>
    <col min="13829" max="13829" width="7.44140625" style="82" bestFit="1" customWidth="1"/>
    <col min="13830" max="13830" width="8.6640625" style="82" customWidth="1"/>
    <col min="13831" max="13831" width="8" style="82" bestFit="1" customWidth="1"/>
    <col min="13832" max="13833" width="7.44140625" style="82" bestFit="1" customWidth="1"/>
    <col min="13834" max="13834" width="8.88671875" style="82" bestFit="1" customWidth="1"/>
    <col min="13835" max="13838" width="8.44140625" style="82" bestFit="1" customWidth="1"/>
    <col min="13839" max="13839" width="8.88671875" style="82" customWidth="1"/>
    <col min="13840" max="13840" width="10.109375" style="82" bestFit="1" customWidth="1"/>
    <col min="13841" max="14080" width="8" style="82"/>
    <col min="14081" max="14081" width="2.88671875" style="82" customWidth="1"/>
    <col min="14082" max="14082" width="32.44140625" style="82" bestFit="1" customWidth="1"/>
    <col min="14083" max="14083" width="9.88671875" style="82" bestFit="1" customWidth="1"/>
    <col min="14084" max="14084" width="8.88671875" style="82" bestFit="1" customWidth="1"/>
    <col min="14085" max="14085" width="7.44140625" style="82" bestFit="1" customWidth="1"/>
    <col min="14086" max="14086" width="8.6640625" style="82" customWidth="1"/>
    <col min="14087" max="14087" width="8" style="82" bestFit="1" customWidth="1"/>
    <col min="14088" max="14089" width="7.44140625" style="82" bestFit="1" customWidth="1"/>
    <col min="14090" max="14090" width="8.88671875" style="82" bestFit="1" customWidth="1"/>
    <col min="14091" max="14094" width="8.44140625" style="82" bestFit="1" customWidth="1"/>
    <col min="14095" max="14095" width="8.88671875" style="82" customWidth="1"/>
    <col min="14096" max="14096" width="10.109375" style="82" bestFit="1" customWidth="1"/>
    <col min="14097" max="14336" width="8" style="82"/>
    <col min="14337" max="14337" width="2.88671875" style="82" customWidth="1"/>
    <col min="14338" max="14338" width="32.44140625" style="82" bestFit="1" customWidth="1"/>
    <col min="14339" max="14339" width="9.88671875" style="82" bestFit="1" customWidth="1"/>
    <col min="14340" max="14340" width="8.88671875" style="82" bestFit="1" customWidth="1"/>
    <col min="14341" max="14341" width="7.44140625" style="82" bestFit="1" customWidth="1"/>
    <col min="14342" max="14342" width="8.6640625" style="82" customWidth="1"/>
    <col min="14343" max="14343" width="8" style="82" bestFit="1" customWidth="1"/>
    <col min="14344" max="14345" width="7.44140625" style="82" bestFit="1" customWidth="1"/>
    <col min="14346" max="14346" width="8.88671875" style="82" bestFit="1" customWidth="1"/>
    <col min="14347" max="14350" width="8.44140625" style="82" bestFit="1" customWidth="1"/>
    <col min="14351" max="14351" width="8.88671875" style="82" customWidth="1"/>
    <col min="14352" max="14352" width="10.109375" style="82" bestFit="1" customWidth="1"/>
    <col min="14353" max="14592" width="8" style="82"/>
    <col min="14593" max="14593" width="2.88671875" style="82" customWidth="1"/>
    <col min="14594" max="14594" width="32.44140625" style="82" bestFit="1" customWidth="1"/>
    <col min="14595" max="14595" width="9.88671875" style="82" bestFit="1" customWidth="1"/>
    <col min="14596" max="14596" width="8.88671875" style="82" bestFit="1" customWidth="1"/>
    <col min="14597" max="14597" width="7.44140625" style="82" bestFit="1" customWidth="1"/>
    <col min="14598" max="14598" width="8.6640625" style="82" customWidth="1"/>
    <col min="14599" max="14599" width="8" style="82" bestFit="1" customWidth="1"/>
    <col min="14600" max="14601" width="7.44140625" style="82" bestFit="1" customWidth="1"/>
    <col min="14602" max="14602" width="8.88671875" style="82" bestFit="1" customWidth="1"/>
    <col min="14603" max="14606" width="8.44140625" style="82" bestFit="1" customWidth="1"/>
    <col min="14607" max="14607" width="8.88671875" style="82" customWidth="1"/>
    <col min="14608" max="14608" width="10.109375" style="82" bestFit="1" customWidth="1"/>
    <col min="14609" max="14848" width="8" style="82"/>
    <col min="14849" max="14849" width="2.88671875" style="82" customWidth="1"/>
    <col min="14850" max="14850" width="32.44140625" style="82" bestFit="1" customWidth="1"/>
    <col min="14851" max="14851" width="9.88671875" style="82" bestFit="1" customWidth="1"/>
    <col min="14852" max="14852" width="8.88671875" style="82" bestFit="1" customWidth="1"/>
    <col min="14853" max="14853" width="7.44140625" style="82" bestFit="1" customWidth="1"/>
    <col min="14854" max="14854" width="8.6640625" style="82" customWidth="1"/>
    <col min="14855" max="14855" width="8" style="82" bestFit="1" customWidth="1"/>
    <col min="14856" max="14857" width="7.44140625" style="82" bestFit="1" customWidth="1"/>
    <col min="14858" max="14858" width="8.88671875" style="82" bestFit="1" customWidth="1"/>
    <col min="14859" max="14862" width="8.44140625" style="82" bestFit="1" customWidth="1"/>
    <col min="14863" max="14863" width="8.88671875" style="82" customWidth="1"/>
    <col min="14864" max="14864" width="10.109375" style="82" bestFit="1" customWidth="1"/>
    <col min="14865" max="15104" width="8" style="82"/>
    <col min="15105" max="15105" width="2.88671875" style="82" customWidth="1"/>
    <col min="15106" max="15106" width="32.44140625" style="82" bestFit="1" customWidth="1"/>
    <col min="15107" max="15107" width="9.88671875" style="82" bestFit="1" customWidth="1"/>
    <col min="15108" max="15108" width="8.88671875" style="82" bestFit="1" customWidth="1"/>
    <col min="15109" max="15109" width="7.44140625" style="82" bestFit="1" customWidth="1"/>
    <col min="15110" max="15110" width="8.6640625" style="82" customWidth="1"/>
    <col min="15111" max="15111" width="8" style="82" bestFit="1" customWidth="1"/>
    <col min="15112" max="15113" width="7.44140625" style="82" bestFit="1" customWidth="1"/>
    <col min="15114" max="15114" width="8.88671875" style="82" bestFit="1" customWidth="1"/>
    <col min="15115" max="15118" width="8.44140625" style="82" bestFit="1" customWidth="1"/>
    <col min="15119" max="15119" width="8.88671875" style="82" customWidth="1"/>
    <col min="15120" max="15120" width="10.109375" style="82" bestFit="1" customWidth="1"/>
    <col min="15121" max="15360" width="8" style="82"/>
    <col min="15361" max="15361" width="2.88671875" style="82" customWidth="1"/>
    <col min="15362" max="15362" width="32.44140625" style="82" bestFit="1" customWidth="1"/>
    <col min="15363" max="15363" width="9.88671875" style="82" bestFit="1" customWidth="1"/>
    <col min="15364" max="15364" width="8.88671875" style="82" bestFit="1" customWidth="1"/>
    <col min="15365" max="15365" width="7.44140625" style="82" bestFit="1" customWidth="1"/>
    <col min="15366" max="15366" width="8.6640625" style="82" customWidth="1"/>
    <col min="15367" max="15367" width="8" style="82" bestFit="1" customWidth="1"/>
    <col min="15368" max="15369" width="7.44140625" style="82" bestFit="1" customWidth="1"/>
    <col min="15370" max="15370" width="8.88671875" style="82" bestFit="1" customWidth="1"/>
    <col min="15371" max="15374" width="8.44140625" style="82" bestFit="1" customWidth="1"/>
    <col min="15375" max="15375" width="8.88671875" style="82" customWidth="1"/>
    <col min="15376" max="15376" width="10.109375" style="82" bestFit="1" customWidth="1"/>
    <col min="15377" max="15616" width="8" style="82"/>
    <col min="15617" max="15617" width="2.88671875" style="82" customWidth="1"/>
    <col min="15618" max="15618" width="32.44140625" style="82" bestFit="1" customWidth="1"/>
    <col min="15619" max="15619" width="9.88671875" style="82" bestFit="1" customWidth="1"/>
    <col min="15620" max="15620" width="8.88671875" style="82" bestFit="1" customWidth="1"/>
    <col min="15621" max="15621" width="7.44140625" style="82" bestFit="1" customWidth="1"/>
    <col min="15622" max="15622" width="8.6640625" style="82" customWidth="1"/>
    <col min="15623" max="15623" width="8" style="82" bestFit="1" customWidth="1"/>
    <col min="15624" max="15625" width="7.44140625" style="82" bestFit="1" customWidth="1"/>
    <col min="15626" max="15626" width="8.88671875" style="82" bestFit="1" customWidth="1"/>
    <col min="15627" max="15630" width="8.44140625" style="82" bestFit="1" customWidth="1"/>
    <col min="15631" max="15631" width="8.88671875" style="82" customWidth="1"/>
    <col min="15632" max="15632" width="10.109375" style="82" bestFit="1" customWidth="1"/>
    <col min="15633" max="15872" width="8" style="82"/>
    <col min="15873" max="15873" width="2.88671875" style="82" customWidth="1"/>
    <col min="15874" max="15874" width="32.44140625" style="82" bestFit="1" customWidth="1"/>
    <col min="15875" max="15875" width="9.88671875" style="82" bestFit="1" customWidth="1"/>
    <col min="15876" max="15876" width="8.88671875" style="82" bestFit="1" customWidth="1"/>
    <col min="15877" max="15877" width="7.44140625" style="82" bestFit="1" customWidth="1"/>
    <col min="15878" max="15878" width="8.6640625" style="82" customWidth="1"/>
    <col min="15879" max="15879" width="8" style="82" bestFit="1" customWidth="1"/>
    <col min="15880" max="15881" width="7.44140625" style="82" bestFit="1" customWidth="1"/>
    <col min="15882" max="15882" width="8.88671875" style="82" bestFit="1" customWidth="1"/>
    <col min="15883" max="15886" width="8.44140625" style="82" bestFit="1" customWidth="1"/>
    <col min="15887" max="15887" width="8.88671875" style="82" customWidth="1"/>
    <col min="15888" max="15888" width="10.109375" style="82" bestFit="1" customWidth="1"/>
    <col min="15889" max="16128" width="8" style="82"/>
    <col min="16129" max="16129" width="2.88671875" style="82" customWidth="1"/>
    <col min="16130" max="16130" width="32.44140625" style="82" bestFit="1" customWidth="1"/>
    <col min="16131" max="16131" width="9.88671875" style="82" bestFit="1" customWidth="1"/>
    <col min="16132" max="16132" width="8.88671875" style="82" bestFit="1" customWidth="1"/>
    <col min="16133" max="16133" width="7.44140625" style="82" bestFit="1" customWidth="1"/>
    <col min="16134" max="16134" width="8.6640625" style="82" customWidth="1"/>
    <col min="16135" max="16135" width="8" style="82" bestFit="1" customWidth="1"/>
    <col min="16136" max="16137" width="7.44140625" style="82" bestFit="1" customWidth="1"/>
    <col min="16138" max="16138" width="8.88671875" style="82" bestFit="1" customWidth="1"/>
    <col min="16139" max="16142" width="8.44140625" style="82" bestFit="1" customWidth="1"/>
    <col min="16143" max="16143" width="8.88671875" style="82" customWidth="1"/>
    <col min="16144" max="16144" width="10.109375" style="82" bestFit="1" customWidth="1"/>
    <col min="16145" max="16384" width="8" style="82"/>
  </cols>
  <sheetData>
    <row r="1" spans="1:17" ht="13.8" x14ac:dyDescent="0.25">
      <c r="O1" s="166" t="s">
        <v>1030</v>
      </c>
    </row>
    <row r="2" spans="1:17" ht="13.8" x14ac:dyDescent="0.25">
      <c r="A2" s="116"/>
      <c r="B2" s="116"/>
      <c r="C2" s="116"/>
      <c r="D2" s="116"/>
      <c r="E2" s="116"/>
      <c r="F2" s="116"/>
      <c r="G2" s="116"/>
      <c r="H2" s="116"/>
      <c r="I2" s="116"/>
      <c r="J2" s="116"/>
      <c r="K2" s="116"/>
      <c r="L2" s="116"/>
      <c r="M2" s="116"/>
      <c r="N2" s="116"/>
      <c r="O2" s="166"/>
    </row>
    <row r="3" spans="1:17" x14ac:dyDescent="0.25">
      <c r="A3" s="417" t="s">
        <v>996</v>
      </c>
      <c r="B3" s="417"/>
      <c r="C3" s="417"/>
      <c r="D3" s="417"/>
      <c r="E3" s="417"/>
      <c r="F3" s="417"/>
      <c r="G3" s="417"/>
      <c r="H3" s="417"/>
      <c r="I3" s="417"/>
      <c r="J3" s="417"/>
      <c r="K3" s="417"/>
      <c r="L3" s="417"/>
      <c r="M3" s="417"/>
      <c r="N3" s="417"/>
      <c r="O3" s="417"/>
    </row>
    <row r="4" spans="1:17" x14ac:dyDescent="0.25">
      <c r="A4" s="118"/>
      <c r="B4" s="118"/>
      <c r="C4" s="118"/>
      <c r="D4" s="118"/>
      <c r="E4" s="118"/>
      <c r="F4" s="118"/>
      <c r="G4" s="118"/>
      <c r="H4" s="118"/>
      <c r="I4" s="118"/>
      <c r="J4" s="118"/>
      <c r="K4" s="118"/>
      <c r="L4" s="118"/>
      <c r="M4" s="118"/>
      <c r="N4" s="118"/>
      <c r="O4" s="353"/>
    </row>
    <row r="5" spans="1:17" ht="7.95" customHeight="1" x14ac:dyDescent="0.25">
      <c r="A5" s="118"/>
      <c r="B5" s="118"/>
      <c r="C5" s="118"/>
      <c r="D5" s="118"/>
      <c r="E5" s="118"/>
      <c r="F5" s="118"/>
      <c r="G5" s="118"/>
      <c r="H5" s="118"/>
      <c r="I5" s="118"/>
      <c r="J5" s="118"/>
      <c r="K5" s="118"/>
      <c r="L5" s="118"/>
      <c r="M5" s="118"/>
      <c r="N5" s="118"/>
    </row>
    <row r="6" spans="1:17" x14ac:dyDescent="0.25">
      <c r="C6" s="83"/>
      <c r="D6" s="83"/>
      <c r="E6" s="83"/>
      <c r="F6" s="83"/>
      <c r="G6" s="83"/>
      <c r="H6" s="83"/>
      <c r="I6" s="83"/>
      <c r="J6" s="83"/>
      <c r="K6" s="83"/>
      <c r="L6" s="83"/>
      <c r="M6" s="157"/>
      <c r="N6" s="157"/>
      <c r="O6" s="158" t="s">
        <v>25</v>
      </c>
      <c r="P6" s="159"/>
      <c r="Q6" s="157"/>
    </row>
    <row r="7" spans="1:17" x14ac:dyDescent="0.25">
      <c r="A7" s="108"/>
      <c r="B7" s="108"/>
      <c r="C7" s="115" t="s">
        <v>277</v>
      </c>
      <c r="D7" s="115" t="s">
        <v>278</v>
      </c>
      <c r="E7" s="115" t="s">
        <v>279</v>
      </c>
      <c r="F7" s="115" t="s">
        <v>280</v>
      </c>
      <c r="G7" s="115" t="s">
        <v>281</v>
      </c>
      <c r="H7" s="115" t="s">
        <v>282</v>
      </c>
      <c r="I7" s="115" t="s">
        <v>283</v>
      </c>
      <c r="J7" s="115" t="s">
        <v>284</v>
      </c>
      <c r="K7" s="115" t="s">
        <v>285</v>
      </c>
      <c r="L7" s="115" t="s">
        <v>286</v>
      </c>
      <c r="M7" s="160" t="s">
        <v>287</v>
      </c>
      <c r="N7" s="160" t="s">
        <v>288</v>
      </c>
      <c r="O7" s="161" t="s">
        <v>155</v>
      </c>
      <c r="P7" s="159"/>
      <c r="Q7" s="157"/>
    </row>
    <row r="8" spans="1:17" x14ac:dyDescent="0.25">
      <c r="A8" s="110" t="s">
        <v>150</v>
      </c>
      <c r="B8" s="108"/>
      <c r="C8" s="107"/>
      <c r="D8" s="107"/>
      <c r="E8" s="107"/>
      <c r="F8" s="107"/>
      <c r="G8" s="107"/>
      <c r="H8" s="107"/>
      <c r="I8" s="107"/>
      <c r="J8" s="107"/>
      <c r="K8" s="107"/>
      <c r="L8" s="107"/>
      <c r="M8" s="154"/>
      <c r="N8" s="154"/>
      <c r="O8" s="154"/>
      <c r="P8" s="159"/>
      <c r="Q8" s="157"/>
    </row>
    <row r="9" spans="1:17" x14ac:dyDescent="0.25">
      <c r="A9" s="108">
        <v>1</v>
      </c>
      <c r="B9" s="112" t="s">
        <v>289</v>
      </c>
      <c r="C9" s="107">
        <v>47800</v>
      </c>
      <c r="D9" s="107">
        <v>50800</v>
      </c>
      <c r="E9" s="107">
        <v>52800</v>
      </c>
      <c r="F9" s="107">
        <v>51800</v>
      </c>
      <c r="G9" s="107">
        <v>51400</v>
      </c>
      <c r="H9" s="107">
        <v>43815</v>
      </c>
      <c r="I9" s="107">
        <v>45015</v>
      </c>
      <c r="J9" s="107">
        <v>45015</v>
      </c>
      <c r="K9" s="107">
        <v>50800</v>
      </c>
      <c r="L9" s="107">
        <v>50015</v>
      </c>
      <c r="M9" s="154">
        <v>53080</v>
      </c>
      <c r="N9" s="154">
        <v>61171</v>
      </c>
      <c r="O9" s="155">
        <f t="shared" ref="O9:O17" si="0">SUM(C9:N9)</f>
        <v>603511</v>
      </c>
      <c r="P9" s="157"/>
      <c r="Q9" s="157"/>
    </row>
    <row r="10" spans="1:17" x14ac:dyDescent="0.25">
      <c r="A10" s="108">
        <v>2</v>
      </c>
      <c r="B10" s="112" t="s">
        <v>59</v>
      </c>
      <c r="C10" s="107">
        <v>9000</v>
      </c>
      <c r="D10" s="107">
        <v>9000</v>
      </c>
      <c r="E10" s="107">
        <v>281000</v>
      </c>
      <c r="F10" s="107">
        <v>20000</v>
      </c>
      <c r="G10" s="107">
        <v>70000</v>
      </c>
      <c r="H10" s="107">
        <v>16000</v>
      </c>
      <c r="I10" s="107">
        <v>8000</v>
      </c>
      <c r="J10" s="107">
        <v>22000</v>
      </c>
      <c r="K10" s="107">
        <v>300000</v>
      </c>
      <c r="L10" s="107">
        <v>22000</v>
      </c>
      <c r="M10" s="154">
        <v>37000</v>
      </c>
      <c r="N10" s="154">
        <v>15000</v>
      </c>
      <c r="O10" s="155">
        <f t="shared" si="0"/>
        <v>809000</v>
      </c>
      <c r="P10" s="157"/>
      <c r="Q10" s="157"/>
    </row>
    <row r="11" spans="1:17" x14ac:dyDescent="0.25">
      <c r="A11" s="108"/>
      <c r="B11" s="112" t="s">
        <v>290</v>
      </c>
      <c r="C11" s="107">
        <v>8000</v>
      </c>
      <c r="D11" s="107">
        <v>8500</v>
      </c>
      <c r="E11" s="107">
        <v>280455</v>
      </c>
      <c r="F11" s="107">
        <v>20000</v>
      </c>
      <c r="G11" s="107">
        <v>70000</v>
      </c>
      <c r="H11" s="107">
        <v>16000</v>
      </c>
      <c r="I11" s="107">
        <v>8000</v>
      </c>
      <c r="J11" s="107">
        <v>21184</v>
      </c>
      <c r="K11" s="107">
        <v>300000</v>
      </c>
      <c r="L11" s="107">
        <v>21084</v>
      </c>
      <c r="M11" s="154">
        <v>35695</v>
      </c>
      <c r="N11" s="154">
        <v>12082</v>
      </c>
      <c r="O11" s="155">
        <f t="shared" si="0"/>
        <v>801000</v>
      </c>
      <c r="P11" s="157"/>
      <c r="Q11" s="157"/>
    </row>
    <row r="12" spans="1:17" x14ac:dyDescent="0.25">
      <c r="A12" s="108">
        <v>3</v>
      </c>
      <c r="B12" s="112" t="s">
        <v>66</v>
      </c>
      <c r="C12" s="107">
        <v>5000</v>
      </c>
      <c r="D12" s="107">
        <v>5000</v>
      </c>
      <c r="E12" s="107">
        <v>26000</v>
      </c>
      <c r="F12" s="107">
        <v>12000</v>
      </c>
      <c r="G12" s="107">
        <v>84278</v>
      </c>
      <c r="H12" s="154">
        <v>11000</v>
      </c>
      <c r="I12" s="154">
        <v>25000</v>
      </c>
      <c r="J12" s="154">
        <v>14000</v>
      </c>
      <c r="K12" s="154">
        <v>30000</v>
      </c>
      <c r="L12" s="154">
        <v>15000</v>
      </c>
      <c r="M12" s="154">
        <v>10000</v>
      </c>
      <c r="N12" s="154">
        <v>22000</v>
      </c>
      <c r="O12" s="155">
        <f t="shared" si="0"/>
        <v>259278</v>
      </c>
      <c r="P12" s="157"/>
      <c r="Q12" s="157"/>
    </row>
    <row r="13" spans="1:17" x14ac:dyDescent="0.25">
      <c r="A13" s="108">
        <v>4</v>
      </c>
      <c r="B13" s="112" t="s">
        <v>28</v>
      </c>
      <c r="C13" s="107">
        <v>172582</v>
      </c>
      <c r="D13" s="107">
        <v>132207</v>
      </c>
      <c r="E13" s="107">
        <v>132207</v>
      </c>
      <c r="F13" s="107">
        <v>132207</v>
      </c>
      <c r="G13" s="107">
        <v>132207</v>
      </c>
      <c r="H13" s="154">
        <v>198457</v>
      </c>
      <c r="I13" s="154">
        <v>132207</v>
      </c>
      <c r="J13" s="154">
        <v>132207</v>
      </c>
      <c r="K13" s="154">
        <v>132207</v>
      </c>
      <c r="L13" s="154">
        <v>198453</v>
      </c>
      <c r="M13" s="154">
        <v>132207</v>
      </c>
      <c r="N13" s="154">
        <v>132207</v>
      </c>
      <c r="O13" s="155">
        <f t="shared" si="0"/>
        <v>1759355</v>
      </c>
      <c r="P13" s="157"/>
      <c r="Q13" s="157"/>
    </row>
    <row r="14" spans="1:17" ht="26.4" x14ac:dyDescent="0.25">
      <c r="A14" s="108">
        <v>5</v>
      </c>
      <c r="B14" s="114" t="s">
        <v>291</v>
      </c>
      <c r="C14" s="107">
        <f t="shared" ref="C14:N14" si="1">SUM(C15:C16)</f>
        <v>10000</v>
      </c>
      <c r="D14" s="107">
        <f t="shared" si="1"/>
        <v>16000</v>
      </c>
      <c r="E14" s="107">
        <f t="shared" si="1"/>
        <v>151000</v>
      </c>
      <c r="F14" s="107">
        <f t="shared" si="1"/>
        <v>313317</v>
      </c>
      <c r="G14" s="107">
        <f t="shared" si="1"/>
        <v>18000</v>
      </c>
      <c r="H14" s="107">
        <f t="shared" si="1"/>
        <v>59080</v>
      </c>
      <c r="I14" s="107">
        <f t="shared" si="1"/>
        <v>48342</v>
      </c>
      <c r="J14" s="107">
        <f t="shared" si="1"/>
        <v>31000</v>
      </c>
      <c r="K14" s="107">
        <f t="shared" si="1"/>
        <v>25000</v>
      </c>
      <c r="L14" s="107">
        <f t="shared" si="1"/>
        <v>30000</v>
      </c>
      <c r="M14" s="154">
        <f t="shared" si="1"/>
        <v>41000</v>
      </c>
      <c r="N14" s="154">
        <f t="shared" si="1"/>
        <v>43730</v>
      </c>
      <c r="O14" s="155">
        <f t="shared" si="0"/>
        <v>786469</v>
      </c>
      <c r="P14" s="157"/>
      <c r="Q14" s="157"/>
    </row>
    <row r="15" spans="1:17" x14ac:dyDescent="0.25">
      <c r="A15" s="108"/>
      <c r="B15" s="112" t="s">
        <v>292</v>
      </c>
      <c r="C15" s="107">
        <v>5000</v>
      </c>
      <c r="D15" s="107">
        <v>8000</v>
      </c>
      <c r="E15" s="107">
        <v>15000</v>
      </c>
      <c r="F15" s="107">
        <f>6500+1500</f>
        <v>8000</v>
      </c>
      <c r="G15" s="107">
        <v>8000</v>
      </c>
      <c r="H15" s="107">
        <v>11000</v>
      </c>
      <c r="I15" s="107">
        <v>18000</v>
      </c>
      <c r="J15" s="107">
        <v>19000</v>
      </c>
      <c r="K15" s="107">
        <v>10000</v>
      </c>
      <c r="L15" s="107">
        <v>15000</v>
      </c>
      <c r="M15" s="154">
        <v>16000</v>
      </c>
      <c r="N15" s="154">
        <v>20731</v>
      </c>
      <c r="O15" s="155">
        <f t="shared" si="0"/>
        <v>153731</v>
      </c>
      <c r="P15" s="157"/>
      <c r="Q15" s="157"/>
    </row>
    <row r="16" spans="1:17" x14ac:dyDescent="0.25">
      <c r="A16" s="108"/>
      <c r="B16" s="112" t="s">
        <v>293</v>
      </c>
      <c r="C16" s="154">
        <v>5000</v>
      </c>
      <c r="D16" s="107">
        <v>8000</v>
      </c>
      <c r="E16" s="107">
        <v>136000</v>
      </c>
      <c r="F16" s="107">
        <v>305317</v>
      </c>
      <c r="G16" s="107">
        <v>10000</v>
      </c>
      <c r="H16" s="107">
        <v>48080</v>
      </c>
      <c r="I16" s="107">
        <v>30342</v>
      </c>
      <c r="J16" s="107">
        <v>12000</v>
      </c>
      <c r="K16" s="107">
        <v>15000</v>
      </c>
      <c r="L16" s="107">
        <v>15000</v>
      </c>
      <c r="M16" s="154">
        <v>25000</v>
      </c>
      <c r="N16" s="154">
        <v>22999</v>
      </c>
      <c r="O16" s="155">
        <f t="shared" si="0"/>
        <v>632738</v>
      </c>
      <c r="P16" s="157"/>
      <c r="Q16" s="157"/>
    </row>
    <row r="17" spans="1:17" x14ac:dyDescent="0.25">
      <c r="A17" s="108">
        <v>6</v>
      </c>
      <c r="B17" s="111" t="s">
        <v>2</v>
      </c>
      <c r="C17" s="107">
        <v>0</v>
      </c>
      <c r="D17" s="107">
        <v>0</v>
      </c>
      <c r="E17" s="107">
        <v>500</v>
      </c>
      <c r="F17" s="107">
        <v>0</v>
      </c>
      <c r="G17" s="107">
        <v>0</v>
      </c>
      <c r="H17" s="107">
        <v>500</v>
      </c>
      <c r="I17" s="107">
        <v>0</v>
      </c>
      <c r="J17" s="107">
        <v>500</v>
      </c>
      <c r="K17" s="107">
        <v>0</v>
      </c>
      <c r="L17" s="107">
        <v>800</v>
      </c>
      <c r="M17" s="154">
        <v>0</v>
      </c>
      <c r="N17" s="154">
        <v>12000</v>
      </c>
      <c r="O17" s="155">
        <f t="shared" si="0"/>
        <v>14300</v>
      </c>
      <c r="P17" s="157"/>
      <c r="Q17" s="157"/>
    </row>
    <row r="18" spans="1:17" x14ac:dyDescent="0.25">
      <c r="A18" s="108">
        <v>7</v>
      </c>
      <c r="B18" s="108" t="s">
        <v>294</v>
      </c>
      <c r="C18" s="107">
        <f t="shared" ref="C18:O18" si="2">C9+C10+C12+C13+C14+C17</f>
        <v>244382</v>
      </c>
      <c r="D18" s="107">
        <f t="shared" si="2"/>
        <v>213007</v>
      </c>
      <c r="E18" s="107">
        <f t="shared" si="2"/>
        <v>643507</v>
      </c>
      <c r="F18" s="107">
        <f t="shared" si="2"/>
        <v>529324</v>
      </c>
      <c r="G18" s="107">
        <f t="shared" si="2"/>
        <v>355885</v>
      </c>
      <c r="H18" s="107">
        <f t="shared" si="2"/>
        <v>328852</v>
      </c>
      <c r="I18" s="107">
        <f t="shared" si="2"/>
        <v>258564</v>
      </c>
      <c r="J18" s="107">
        <f t="shared" si="2"/>
        <v>244722</v>
      </c>
      <c r="K18" s="107">
        <f t="shared" si="2"/>
        <v>538007</v>
      </c>
      <c r="L18" s="107">
        <f t="shared" si="2"/>
        <v>316268</v>
      </c>
      <c r="M18" s="154">
        <f t="shared" si="2"/>
        <v>273287</v>
      </c>
      <c r="N18" s="154">
        <f t="shared" si="2"/>
        <v>286108</v>
      </c>
      <c r="O18" s="155">
        <f t="shared" si="2"/>
        <v>4231913</v>
      </c>
      <c r="P18" s="157"/>
      <c r="Q18" s="157"/>
    </row>
    <row r="19" spans="1:17" ht="26.4" x14ac:dyDescent="0.25">
      <c r="A19" s="108">
        <v>8</v>
      </c>
      <c r="B19" s="111" t="s">
        <v>295</v>
      </c>
      <c r="C19" s="107">
        <v>2506199</v>
      </c>
      <c r="D19" s="107">
        <v>0</v>
      </c>
      <c r="E19" s="107">
        <v>0</v>
      </c>
      <c r="F19" s="107">
        <v>0</v>
      </c>
      <c r="G19" s="107">
        <v>0</v>
      </c>
      <c r="H19" s="107">
        <v>0</v>
      </c>
      <c r="I19" s="107">
        <v>0</v>
      </c>
      <c r="J19" s="107">
        <v>0</v>
      </c>
      <c r="K19" s="107">
        <v>0</v>
      </c>
      <c r="L19" s="107">
        <v>0</v>
      </c>
      <c r="M19" s="154">
        <v>0</v>
      </c>
      <c r="N19" s="154">
        <v>0</v>
      </c>
      <c r="O19" s="155">
        <f>SUM(C19:N19)</f>
        <v>2506199</v>
      </c>
      <c r="P19" s="157"/>
      <c r="Q19" s="157"/>
    </row>
    <row r="20" spans="1:17" x14ac:dyDescent="0.25">
      <c r="A20" s="108"/>
      <c r="B20" s="108"/>
      <c r="C20" s="107"/>
      <c r="D20" s="107"/>
      <c r="E20" s="107"/>
      <c r="F20" s="107"/>
      <c r="G20" s="107"/>
      <c r="H20" s="107"/>
      <c r="I20" s="107"/>
      <c r="J20" s="107"/>
      <c r="K20" s="107"/>
      <c r="L20" s="107"/>
      <c r="M20" s="154"/>
      <c r="N20" s="154"/>
      <c r="O20" s="155"/>
      <c r="P20" s="157"/>
      <c r="Q20" s="157"/>
    </row>
    <row r="21" spans="1:17" x14ac:dyDescent="0.25">
      <c r="A21" s="110">
        <v>9</v>
      </c>
      <c r="B21" s="148" t="s">
        <v>296</v>
      </c>
      <c r="C21" s="149">
        <f t="shared" ref="C21:O21" si="3">C18+C19</f>
        <v>2750581</v>
      </c>
      <c r="D21" s="149">
        <f t="shared" si="3"/>
        <v>213007</v>
      </c>
      <c r="E21" s="149">
        <f t="shared" si="3"/>
        <v>643507</v>
      </c>
      <c r="F21" s="149">
        <f t="shared" si="3"/>
        <v>529324</v>
      </c>
      <c r="G21" s="149">
        <f t="shared" si="3"/>
        <v>355885</v>
      </c>
      <c r="H21" s="149">
        <f t="shared" si="3"/>
        <v>328852</v>
      </c>
      <c r="I21" s="149">
        <f t="shared" si="3"/>
        <v>258564</v>
      </c>
      <c r="J21" s="149">
        <f t="shared" si="3"/>
        <v>244722</v>
      </c>
      <c r="K21" s="149">
        <f t="shared" si="3"/>
        <v>538007</v>
      </c>
      <c r="L21" s="149">
        <f t="shared" si="3"/>
        <v>316268</v>
      </c>
      <c r="M21" s="149">
        <f t="shared" si="3"/>
        <v>273287</v>
      </c>
      <c r="N21" s="149">
        <f t="shared" si="3"/>
        <v>286108</v>
      </c>
      <c r="O21" s="149">
        <f t="shared" si="3"/>
        <v>6738112</v>
      </c>
      <c r="P21" s="157"/>
      <c r="Q21" s="157"/>
    </row>
    <row r="22" spans="1:17" x14ac:dyDescent="0.25">
      <c r="A22" s="113"/>
      <c r="B22" s="150"/>
      <c r="C22" s="151"/>
      <c r="D22" s="151"/>
      <c r="E22" s="151"/>
      <c r="F22" s="151"/>
      <c r="G22" s="151"/>
      <c r="H22" s="151"/>
      <c r="I22" s="151"/>
      <c r="J22" s="151"/>
      <c r="K22" s="151"/>
      <c r="L22" s="151"/>
      <c r="M22" s="151"/>
      <c r="N22" s="151"/>
      <c r="O22" s="151"/>
      <c r="P22" s="159"/>
      <c r="Q22" s="157"/>
    </row>
    <row r="23" spans="1:17" x14ac:dyDescent="0.25">
      <c r="A23" s="110" t="s">
        <v>170</v>
      </c>
      <c r="B23" s="152"/>
      <c r="C23" s="80"/>
      <c r="D23" s="80"/>
      <c r="E23" s="80"/>
      <c r="F23" s="80"/>
      <c r="G23" s="80"/>
      <c r="H23" s="80"/>
      <c r="I23" s="80"/>
      <c r="J23" s="80"/>
      <c r="K23" s="80"/>
      <c r="L23" s="80"/>
      <c r="M23" s="80"/>
      <c r="N23" s="80"/>
      <c r="O23" s="81"/>
      <c r="P23" s="162"/>
      <c r="Q23" s="157"/>
    </row>
    <row r="24" spans="1:17" x14ac:dyDescent="0.25">
      <c r="A24" s="108">
        <v>10</v>
      </c>
      <c r="B24" s="153" t="s">
        <v>297</v>
      </c>
      <c r="C24" s="154">
        <v>89659.418573751434</v>
      </c>
      <c r="D24" s="154">
        <v>90428.075893119516</v>
      </c>
      <c r="E24" s="154">
        <v>89338.943892008625</v>
      </c>
      <c r="F24" s="154">
        <v>87673.921297389985</v>
      </c>
      <c r="G24" s="154">
        <v>81231.89827754494</v>
      </c>
      <c r="H24" s="154">
        <v>81552.37295928775</v>
      </c>
      <c r="I24" s="154">
        <v>82833.066894222342</v>
      </c>
      <c r="J24" s="154">
        <v>90748.550574862325</v>
      </c>
      <c r="K24" s="154">
        <v>89787.126529633912</v>
      </c>
      <c r="L24" s="154">
        <v>87332.965151024531</v>
      </c>
      <c r="M24" s="154">
        <v>90412.413596643368</v>
      </c>
      <c r="N24" s="154">
        <v>84487.24636051133</v>
      </c>
      <c r="O24" s="155">
        <f>SUM(C24:N24)</f>
        <v>1045486</v>
      </c>
      <c r="P24" s="157"/>
      <c r="Q24" s="157"/>
    </row>
    <row r="25" spans="1:17" x14ac:dyDescent="0.25">
      <c r="A25" s="108">
        <v>11</v>
      </c>
      <c r="B25" s="153" t="s">
        <v>298</v>
      </c>
      <c r="C25" s="154">
        <v>11535</v>
      </c>
      <c r="D25" s="154">
        <v>11634</v>
      </c>
      <c r="E25" s="154">
        <v>11494</v>
      </c>
      <c r="F25" s="154">
        <v>11280</v>
      </c>
      <c r="G25" s="154">
        <v>11451</v>
      </c>
      <c r="H25" s="154">
        <v>11492</v>
      </c>
      <c r="I25" s="154">
        <v>11657</v>
      </c>
      <c r="J25" s="154">
        <v>11675</v>
      </c>
      <c r="K25" s="154">
        <v>11551</v>
      </c>
      <c r="L25" s="154">
        <v>11736</v>
      </c>
      <c r="M25" s="154">
        <v>11632</v>
      </c>
      <c r="N25" s="154">
        <v>12826</v>
      </c>
      <c r="O25" s="155">
        <f>SUM(C25:N25)</f>
        <v>139963</v>
      </c>
      <c r="P25" s="157"/>
      <c r="Q25" s="157"/>
    </row>
    <row r="26" spans="1:17" x14ac:dyDescent="0.25">
      <c r="A26" s="108">
        <v>12</v>
      </c>
      <c r="B26" s="153" t="s">
        <v>299</v>
      </c>
      <c r="C26" s="154">
        <v>136727</v>
      </c>
      <c r="D26" s="154">
        <v>138124</v>
      </c>
      <c r="E26" s="154">
        <v>135387</v>
      </c>
      <c r="F26" s="154">
        <v>148404</v>
      </c>
      <c r="G26" s="154">
        <v>140862</v>
      </c>
      <c r="H26" s="154">
        <v>140392</v>
      </c>
      <c r="I26" s="154">
        <v>141733</v>
      </c>
      <c r="J26" s="154">
        <v>144415</v>
      </c>
      <c r="K26" s="154">
        <v>141733</v>
      </c>
      <c r="L26" s="154">
        <v>143074</v>
      </c>
      <c r="M26" s="154">
        <v>147208</v>
      </c>
      <c r="N26" s="154">
        <v>147768</v>
      </c>
      <c r="O26" s="155">
        <f>SUM(C26:N26)</f>
        <v>1705827</v>
      </c>
      <c r="P26" s="157"/>
      <c r="Q26" s="157"/>
    </row>
    <row r="27" spans="1:17" x14ac:dyDescent="0.25">
      <c r="A27" s="108">
        <v>13</v>
      </c>
      <c r="B27" s="153" t="s">
        <v>48</v>
      </c>
      <c r="C27" s="154">
        <v>1500</v>
      </c>
      <c r="D27" s="154">
        <v>1500</v>
      </c>
      <c r="E27" s="154">
        <v>1500</v>
      </c>
      <c r="F27" s="154">
        <v>1500</v>
      </c>
      <c r="G27" s="154">
        <v>1000</v>
      </c>
      <c r="H27" s="154">
        <v>2000</v>
      </c>
      <c r="I27" s="154">
        <v>1500</v>
      </c>
      <c r="J27" s="154">
        <v>1500</v>
      </c>
      <c r="K27" s="154">
        <v>4000</v>
      </c>
      <c r="L27" s="154">
        <v>1000</v>
      </c>
      <c r="M27" s="154">
        <v>1500</v>
      </c>
      <c r="N27" s="154">
        <v>1500</v>
      </c>
      <c r="O27" s="155">
        <f>SUM(C27:N27)</f>
        <v>20000</v>
      </c>
      <c r="P27" s="157"/>
      <c r="Q27" s="157"/>
    </row>
    <row r="28" spans="1:17" x14ac:dyDescent="0.25">
      <c r="A28" s="108">
        <v>14</v>
      </c>
      <c r="B28" s="153" t="s">
        <v>300</v>
      </c>
      <c r="C28" s="154">
        <v>31510</v>
      </c>
      <c r="D28" s="154">
        <v>38000</v>
      </c>
      <c r="E28" s="154">
        <v>35000</v>
      </c>
      <c r="F28" s="154">
        <v>36500</v>
      </c>
      <c r="G28" s="154">
        <v>35500</v>
      </c>
      <c r="H28" s="154">
        <v>38600</v>
      </c>
      <c r="I28" s="154">
        <v>38110</v>
      </c>
      <c r="J28" s="154">
        <v>48010</v>
      </c>
      <c r="K28" s="154">
        <v>44110</v>
      </c>
      <c r="L28" s="154">
        <v>48600</v>
      </c>
      <c r="M28" s="154">
        <v>46710</v>
      </c>
      <c r="N28" s="154">
        <v>44224</v>
      </c>
      <c r="O28" s="155">
        <f>SUM(C28:N28)</f>
        <v>484874</v>
      </c>
      <c r="P28" s="157"/>
      <c r="Q28" s="157"/>
    </row>
    <row r="29" spans="1:17" x14ac:dyDescent="0.25">
      <c r="A29" s="108">
        <v>15</v>
      </c>
      <c r="B29" s="153" t="s">
        <v>301</v>
      </c>
      <c r="C29" s="154">
        <f t="shared" ref="C29:O29" si="4">C24+C25+C26+C27+C28</f>
        <v>270931.41857375146</v>
      </c>
      <c r="D29" s="154">
        <f t="shared" si="4"/>
        <v>279686.0758931195</v>
      </c>
      <c r="E29" s="154">
        <f t="shared" si="4"/>
        <v>272719.94389200862</v>
      </c>
      <c r="F29" s="154">
        <f t="shared" si="4"/>
        <v>285357.92129739001</v>
      </c>
      <c r="G29" s="154">
        <f t="shared" si="4"/>
        <v>270044.89827754494</v>
      </c>
      <c r="H29" s="154">
        <f t="shared" si="4"/>
        <v>274036.37295928772</v>
      </c>
      <c r="I29" s="154">
        <f t="shared" si="4"/>
        <v>275833.06689422234</v>
      </c>
      <c r="J29" s="154">
        <f t="shared" si="4"/>
        <v>296348.55057486234</v>
      </c>
      <c r="K29" s="154">
        <f t="shared" si="4"/>
        <v>291181.12652963388</v>
      </c>
      <c r="L29" s="154">
        <f t="shared" si="4"/>
        <v>291742.96515102452</v>
      </c>
      <c r="M29" s="154">
        <f t="shared" si="4"/>
        <v>297462.41359664337</v>
      </c>
      <c r="N29" s="154">
        <f t="shared" si="4"/>
        <v>290805.24636051134</v>
      </c>
      <c r="O29" s="155">
        <f t="shared" si="4"/>
        <v>3396150</v>
      </c>
      <c r="P29" s="83"/>
    </row>
    <row r="30" spans="1:17" x14ac:dyDescent="0.25">
      <c r="A30" s="108">
        <v>16</v>
      </c>
      <c r="B30" s="153" t="s">
        <v>20</v>
      </c>
      <c r="C30" s="154">
        <v>5000</v>
      </c>
      <c r="D30" s="154">
        <v>15000</v>
      </c>
      <c r="E30" s="154">
        <v>10000</v>
      </c>
      <c r="F30" s="154">
        <v>25000</v>
      </c>
      <c r="G30" s="154">
        <v>45000</v>
      </c>
      <c r="H30" s="154">
        <v>335000</v>
      </c>
      <c r="I30" s="154">
        <v>30000</v>
      </c>
      <c r="J30" s="154">
        <v>65000</v>
      </c>
      <c r="K30" s="154">
        <v>350000</v>
      </c>
      <c r="L30" s="154">
        <v>29500</v>
      </c>
      <c r="M30" s="154">
        <v>185000</v>
      </c>
      <c r="N30" s="154">
        <v>133153</v>
      </c>
      <c r="O30" s="155">
        <f>SUM(C30:N30)</f>
        <v>1227653</v>
      </c>
      <c r="P30" s="83"/>
    </row>
    <row r="31" spans="1:17" x14ac:dyDescent="0.25">
      <c r="A31" s="108">
        <v>17</v>
      </c>
      <c r="B31" s="153" t="s">
        <v>50</v>
      </c>
      <c r="C31" s="154">
        <v>15000</v>
      </c>
      <c r="D31" s="154">
        <v>25000</v>
      </c>
      <c r="E31" s="154">
        <v>55000</v>
      </c>
      <c r="F31" s="154">
        <v>195000</v>
      </c>
      <c r="G31" s="154">
        <v>145000</v>
      </c>
      <c r="H31" s="154">
        <v>155000</v>
      </c>
      <c r="I31" s="154">
        <v>165000</v>
      </c>
      <c r="J31" s="154">
        <v>85000</v>
      </c>
      <c r="K31" s="154">
        <v>85000</v>
      </c>
      <c r="L31" s="154">
        <v>195000</v>
      </c>
      <c r="M31" s="154">
        <v>90000</v>
      </c>
      <c r="N31" s="154">
        <v>102342</v>
      </c>
      <c r="O31" s="155">
        <f>SUM(C31:N31)</f>
        <v>1312342</v>
      </c>
      <c r="P31" s="83"/>
    </row>
    <row r="32" spans="1:17" x14ac:dyDescent="0.25">
      <c r="A32" s="108">
        <v>18</v>
      </c>
      <c r="B32" s="153" t="s">
        <v>302</v>
      </c>
      <c r="C32" s="154">
        <v>0</v>
      </c>
      <c r="D32" s="154">
        <v>1500</v>
      </c>
      <c r="E32" s="154">
        <v>1000</v>
      </c>
      <c r="F32" s="154">
        <v>1000</v>
      </c>
      <c r="G32" s="154">
        <v>8000</v>
      </c>
      <c r="H32" s="154">
        <v>5000</v>
      </c>
      <c r="I32" s="154">
        <v>500</v>
      </c>
      <c r="J32" s="154">
        <v>500</v>
      </c>
      <c r="K32" s="154">
        <v>1500</v>
      </c>
      <c r="L32" s="154">
        <v>1500</v>
      </c>
      <c r="M32" s="154">
        <v>1500</v>
      </c>
      <c r="N32" s="154">
        <v>4000</v>
      </c>
      <c r="O32" s="155">
        <f>SUM(C32:N32)</f>
        <v>26000</v>
      </c>
      <c r="P32" s="83"/>
    </row>
    <row r="33" spans="1:16" x14ac:dyDescent="0.25">
      <c r="A33" s="108">
        <v>19</v>
      </c>
      <c r="B33" s="153" t="s">
        <v>303</v>
      </c>
      <c r="C33" s="154">
        <f t="shared" ref="C33:O33" si="5">C30+C31+C32</f>
        <v>20000</v>
      </c>
      <c r="D33" s="154">
        <f t="shared" si="5"/>
        <v>41500</v>
      </c>
      <c r="E33" s="154">
        <f t="shared" si="5"/>
        <v>66000</v>
      </c>
      <c r="F33" s="154">
        <f t="shared" si="5"/>
        <v>221000</v>
      </c>
      <c r="G33" s="154">
        <f t="shared" si="5"/>
        <v>198000</v>
      </c>
      <c r="H33" s="154">
        <f t="shared" si="5"/>
        <v>495000</v>
      </c>
      <c r="I33" s="154">
        <f t="shared" si="5"/>
        <v>195500</v>
      </c>
      <c r="J33" s="154">
        <f t="shared" si="5"/>
        <v>150500</v>
      </c>
      <c r="K33" s="154">
        <f t="shared" si="5"/>
        <v>436500</v>
      </c>
      <c r="L33" s="154">
        <f t="shared" si="5"/>
        <v>226000</v>
      </c>
      <c r="M33" s="154">
        <f t="shared" si="5"/>
        <v>276500</v>
      </c>
      <c r="N33" s="154">
        <f t="shared" si="5"/>
        <v>239495</v>
      </c>
      <c r="O33" s="155">
        <f t="shared" si="5"/>
        <v>2565995</v>
      </c>
      <c r="P33" s="83"/>
    </row>
    <row r="34" spans="1:16" x14ac:dyDescent="0.25">
      <c r="A34" s="108">
        <v>20</v>
      </c>
      <c r="B34" s="153" t="s">
        <v>304</v>
      </c>
      <c r="C34" s="155"/>
      <c r="D34" s="155"/>
      <c r="E34" s="155"/>
      <c r="F34" s="155"/>
      <c r="G34" s="155">
        <v>61899</v>
      </c>
      <c r="H34" s="155">
        <v>26289</v>
      </c>
      <c r="I34" s="155">
        <v>20000</v>
      </c>
      <c r="J34" s="155">
        <v>25000</v>
      </c>
      <c r="K34" s="155">
        <v>30000</v>
      </c>
      <c r="L34" s="155">
        <v>25000</v>
      </c>
      <c r="M34" s="155">
        <v>25000</v>
      </c>
      <c r="N34" s="155">
        <v>480948</v>
      </c>
      <c r="O34" s="155">
        <f>SUM(C34:N34)</f>
        <v>694136</v>
      </c>
      <c r="P34" s="83"/>
    </row>
    <row r="35" spans="1:16" x14ac:dyDescent="0.25">
      <c r="A35" s="108">
        <v>21</v>
      </c>
      <c r="B35" s="153" t="s">
        <v>305</v>
      </c>
      <c r="C35" s="154">
        <f t="shared" ref="C35:O35" si="6">C29+C33+C34</f>
        <v>290931.41857375146</v>
      </c>
      <c r="D35" s="154">
        <f t="shared" si="6"/>
        <v>321186.0758931195</v>
      </c>
      <c r="E35" s="154">
        <f t="shared" si="6"/>
        <v>338719.94389200862</v>
      </c>
      <c r="F35" s="154">
        <f t="shared" si="6"/>
        <v>506357.92129739001</v>
      </c>
      <c r="G35" s="154">
        <f t="shared" si="6"/>
        <v>529943.89827754488</v>
      </c>
      <c r="H35" s="154">
        <f t="shared" si="6"/>
        <v>795325.37295928772</v>
      </c>
      <c r="I35" s="154">
        <f t="shared" si="6"/>
        <v>491333.06689422234</v>
      </c>
      <c r="J35" s="154">
        <f t="shared" si="6"/>
        <v>471848.55057486234</v>
      </c>
      <c r="K35" s="154">
        <f t="shared" si="6"/>
        <v>757681.12652963388</v>
      </c>
      <c r="L35" s="154">
        <f t="shared" si="6"/>
        <v>542742.96515102452</v>
      </c>
      <c r="M35" s="154">
        <f t="shared" si="6"/>
        <v>598962.41359664337</v>
      </c>
      <c r="N35" s="154">
        <f t="shared" si="6"/>
        <v>1011248.2463605113</v>
      </c>
      <c r="O35" s="154">
        <f t="shared" si="6"/>
        <v>6656281</v>
      </c>
    </row>
    <row r="36" spans="1:16" ht="26.4" x14ac:dyDescent="0.25">
      <c r="A36" s="108">
        <v>22</v>
      </c>
      <c r="B36" s="156" t="s">
        <v>306</v>
      </c>
      <c r="C36" s="154">
        <v>55442</v>
      </c>
      <c r="D36" s="154">
        <v>0</v>
      </c>
      <c r="E36" s="154">
        <v>6597</v>
      </c>
      <c r="F36" s="154">
        <v>0</v>
      </c>
      <c r="G36" s="154">
        <v>0</v>
      </c>
      <c r="H36" s="154">
        <v>6597</v>
      </c>
      <c r="I36" s="154">
        <v>0</v>
      </c>
      <c r="J36" s="154">
        <v>0</v>
      </c>
      <c r="K36" s="154">
        <v>6597</v>
      </c>
      <c r="L36" s="154">
        <v>0</v>
      </c>
      <c r="M36" s="154">
        <v>0</v>
      </c>
      <c r="N36" s="154">
        <v>6598</v>
      </c>
      <c r="O36" s="155">
        <f>SUM(C36:N36)</f>
        <v>81831</v>
      </c>
      <c r="P36" s="83"/>
    </row>
    <row r="37" spans="1:16" x14ac:dyDescent="0.25">
      <c r="A37" s="110">
        <v>23</v>
      </c>
      <c r="B37" s="110" t="s">
        <v>307</v>
      </c>
      <c r="C37" s="109">
        <f t="shared" ref="C37:O37" si="7">C35+C36</f>
        <v>346373.41857375146</v>
      </c>
      <c r="D37" s="109">
        <f t="shared" si="7"/>
        <v>321186.0758931195</v>
      </c>
      <c r="E37" s="109">
        <f t="shared" si="7"/>
        <v>345316.94389200862</v>
      </c>
      <c r="F37" s="109">
        <f t="shared" si="7"/>
        <v>506357.92129739001</v>
      </c>
      <c r="G37" s="109">
        <f t="shared" si="7"/>
        <v>529943.89827754488</v>
      </c>
      <c r="H37" s="109">
        <f t="shared" si="7"/>
        <v>801922.37295928772</v>
      </c>
      <c r="I37" s="109">
        <f t="shared" si="7"/>
        <v>491333.06689422234</v>
      </c>
      <c r="J37" s="109">
        <f t="shared" si="7"/>
        <v>471848.55057486234</v>
      </c>
      <c r="K37" s="109">
        <f t="shared" si="7"/>
        <v>764278.12652963388</v>
      </c>
      <c r="L37" s="109">
        <f t="shared" si="7"/>
        <v>542742.96515102452</v>
      </c>
      <c r="M37" s="109">
        <f t="shared" si="7"/>
        <v>598962.41359664337</v>
      </c>
      <c r="N37" s="109">
        <f t="shared" si="7"/>
        <v>1017846.2463605113</v>
      </c>
      <c r="O37" s="149">
        <f t="shared" si="7"/>
        <v>6738112</v>
      </c>
      <c r="P37" s="83"/>
    </row>
    <row r="38" spans="1:16" x14ac:dyDescent="0.25">
      <c r="A38" s="108">
        <v>24</v>
      </c>
      <c r="B38" s="108" t="s">
        <v>308</v>
      </c>
      <c r="C38" s="107">
        <f t="shared" ref="C38:N38" si="8">C18-C35</f>
        <v>-46549.418573751464</v>
      </c>
      <c r="D38" s="107">
        <f t="shared" si="8"/>
        <v>-108179.0758931195</v>
      </c>
      <c r="E38" s="107">
        <f t="shared" si="8"/>
        <v>304787.05610799138</v>
      </c>
      <c r="F38" s="107">
        <f t="shared" si="8"/>
        <v>22966.078702609986</v>
      </c>
      <c r="G38" s="107">
        <f t="shared" si="8"/>
        <v>-174058.89827754488</v>
      </c>
      <c r="H38" s="107">
        <f t="shared" si="8"/>
        <v>-466473.37295928772</v>
      </c>
      <c r="I38" s="107">
        <f t="shared" si="8"/>
        <v>-232769.06689422234</v>
      </c>
      <c r="J38" s="107">
        <f t="shared" si="8"/>
        <v>-227126.55057486234</v>
      </c>
      <c r="K38" s="107">
        <f t="shared" si="8"/>
        <v>-219674.12652963388</v>
      </c>
      <c r="L38" s="107">
        <f t="shared" si="8"/>
        <v>-226474.96515102452</v>
      </c>
      <c r="M38" s="107">
        <f t="shared" si="8"/>
        <v>-325675.41359664337</v>
      </c>
      <c r="N38" s="107">
        <f t="shared" si="8"/>
        <v>-725140.24636051129</v>
      </c>
      <c r="O38" s="155">
        <f>SUM(C38:N38)</f>
        <v>-2424368</v>
      </c>
      <c r="P38" s="83"/>
    </row>
    <row r="39" spans="1:16" x14ac:dyDescent="0.25">
      <c r="A39" s="108">
        <v>25</v>
      </c>
      <c r="B39" s="108" t="s">
        <v>309</v>
      </c>
      <c r="C39" s="107">
        <f t="shared" ref="C39:N39" si="9">C21-C37</f>
        <v>2404207.5814262484</v>
      </c>
      <c r="D39" s="107">
        <f t="shared" si="9"/>
        <v>-108179.0758931195</v>
      </c>
      <c r="E39" s="107">
        <f t="shared" si="9"/>
        <v>298190.05610799138</v>
      </c>
      <c r="F39" s="107">
        <f t="shared" si="9"/>
        <v>22966.078702609986</v>
      </c>
      <c r="G39" s="107">
        <f t="shared" si="9"/>
        <v>-174058.89827754488</v>
      </c>
      <c r="H39" s="107">
        <f t="shared" si="9"/>
        <v>-473070.37295928772</v>
      </c>
      <c r="I39" s="107">
        <f t="shared" si="9"/>
        <v>-232769.06689422234</v>
      </c>
      <c r="J39" s="107">
        <f t="shared" si="9"/>
        <v>-227126.55057486234</v>
      </c>
      <c r="K39" s="107">
        <f t="shared" si="9"/>
        <v>-226271.12652963388</v>
      </c>
      <c r="L39" s="107">
        <f t="shared" si="9"/>
        <v>-226474.96515102452</v>
      </c>
      <c r="M39" s="107">
        <f t="shared" si="9"/>
        <v>-325675.41359664337</v>
      </c>
      <c r="N39" s="107">
        <f t="shared" si="9"/>
        <v>-731738.24636051129</v>
      </c>
      <c r="O39" s="155">
        <f>SUM(C39:N39)</f>
        <v>0</v>
      </c>
    </row>
    <row r="40" spans="1:16" x14ac:dyDescent="0.25">
      <c r="A40" s="108">
        <v>26</v>
      </c>
      <c r="B40" s="108" t="s">
        <v>310</v>
      </c>
      <c r="C40" s="107">
        <f>C21-C37</f>
        <v>2404207.5814262484</v>
      </c>
      <c r="D40" s="107">
        <f t="shared" ref="D40:O40" si="10">C40+D21-D37</f>
        <v>2296028.505533129</v>
      </c>
      <c r="E40" s="107">
        <f t="shared" si="10"/>
        <v>2594218.5616411204</v>
      </c>
      <c r="F40" s="107">
        <f t="shared" si="10"/>
        <v>2617184.6403437303</v>
      </c>
      <c r="G40" s="107">
        <f t="shared" si="10"/>
        <v>2443125.7420661855</v>
      </c>
      <c r="H40" s="107">
        <f t="shared" si="10"/>
        <v>1970055.3691068976</v>
      </c>
      <c r="I40" s="107">
        <f t="shared" si="10"/>
        <v>1737286.3022126753</v>
      </c>
      <c r="J40" s="107">
        <f t="shared" si="10"/>
        <v>1510159.7516378129</v>
      </c>
      <c r="K40" s="107">
        <f t="shared" si="10"/>
        <v>1283888.6251081792</v>
      </c>
      <c r="L40" s="107">
        <f t="shared" si="10"/>
        <v>1057413.6599571547</v>
      </c>
      <c r="M40" s="107">
        <f t="shared" si="10"/>
        <v>731738.24636051129</v>
      </c>
      <c r="N40" s="107">
        <f t="shared" si="10"/>
        <v>0</v>
      </c>
      <c r="O40" s="154">
        <f t="shared" si="10"/>
        <v>0</v>
      </c>
    </row>
    <row r="42" spans="1:16" x14ac:dyDescent="0.25">
      <c r="E42" s="83"/>
      <c r="F42" s="83"/>
      <c r="G42" s="83"/>
      <c r="H42" s="83"/>
      <c r="I42" s="83"/>
      <c r="J42" s="83"/>
      <c r="K42" s="83"/>
      <c r="L42" s="83"/>
      <c r="M42" s="83"/>
      <c r="N42" s="83"/>
      <c r="O42" s="157"/>
    </row>
  </sheetData>
  <mergeCells count="1">
    <mergeCell ref="A3:O3"/>
  </mergeCells>
  <pageMargins left="0.19685039370078741" right="0.19685039370078741" top="0.35433070866141736" bottom="0.35433070866141736" header="0.31496062992125984" footer="0.31496062992125984"/>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482C2-ABCC-436C-9ABD-BE05AFCBF65A}">
  <sheetPr>
    <pageSetUpPr fitToPage="1"/>
  </sheetPr>
  <dimension ref="A1:U13"/>
  <sheetViews>
    <sheetView workbookViewId="0">
      <selection activeCell="T2" sqref="T2"/>
    </sheetView>
  </sheetViews>
  <sheetFormatPr defaultRowHeight="13.2" x14ac:dyDescent="0.25"/>
  <cols>
    <col min="1" max="3" width="8.88671875" style="10"/>
    <col min="4" max="4" width="22.88671875" style="10" customWidth="1"/>
    <col min="5" max="5" width="8.88671875" style="10"/>
    <col min="6" max="6" width="11.33203125" style="10" customWidth="1"/>
    <col min="7" max="8" width="8.88671875" style="10"/>
    <col min="9" max="9" width="10.6640625" style="10" customWidth="1"/>
    <col min="10" max="10" width="10" style="10" customWidth="1"/>
    <col min="11" max="11" width="10.6640625" style="10" customWidth="1"/>
    <col min="12" max="13" width="8.88671875" style="10"/>
    <col min="14" max="14" width="10.44140625" style="10" customWidth="1"/>
    <col min="15" max="15" width="7.33203125" style="10" bestFit="1" customWidth="1"/>
    <col min="16" max="16" width="9.109375" style="10" customWidth="1"/>
    <col min="17" max="261" width="8.88671875" style="10"/>
    <col min="262" max="262" width="11.33203125" style="10" customWidth="1"/>
    <col min="263" max="269" width="8.88671875" style="10"/>
    <col min="270" max="270" width="6" style="10" bestFit="1" customWidth="1"/>
    <col min="271" max="271" width="7.33203125" style="10" bestFit="1" customWidth="1"/>
    <col min="272" max="517" width="8.88671875" style="10"/>
    <col min="518" max="518" width="11.33203125" style="10" customWidth="1"/>
    <col min="519" max="525" width="8.88671875" style="10"/>
    <col min="526" max="526" width="6" style="10" bestFit="1" customWidth="1"/>
    <col min="527" max="527" width="7.33203125" style="10" bestFit="1" customWidth="1"/>
    <col min="528" max="773" width="8.88671875" style="10"/>
    <col min="774" max="774" width="11.33203125" style="10" customWidth="1"/>
    <col min="775" max="781" width="8.88671875" style="10"/>
    <col min="782" max="782" width="6" style="10" bestFit="1" customWidth="1"/>
    <col min="783" max="783" width="7.33203125" style="10" bestFit="1" customWidth="1"/>
    <col min="784" max="1029" width="8.88671875" style="10"/>
    <col min="1030" max="1030" width="11.33203125" style="10" customWidth="1"/>
    <col min="1031" max="1037" width="8.88671875" style="10"/>
    <col min="1038" max="1038" width="6" style="10" bestFit="1" customWidth="1"/>
    <col min="1039" max="1039" width="7.33203125" style="10" bestFit="1" customWidth="1"/>
    <col min="1040" max="1285" width="8.88671875" style="10"/>
    <col min="1286" max="1286" width="11.33203125" style="10" customWidth="1"/>
    <col min="1287" max="1293" width="8.88671875" style="10"/>
    <col min="1294" max="1294" width="6" style="10" bestFit="1" customWidth="1"/>
    <col min="1295" max="1295" width="7.33203125" style="10" bestFit="1" customWidth="1"/>
    <col min="1296" max="1541" width="8.88671875" style="10"/>
    <col min="1542" max="1542" width="11.33203125" style="10" customWidth="1"/>
    <col min="1543" max="1549" width="8.88671875" style="10"/>
    <col min="1550" max="1550" width="6" style="10" bestFit="1" customWidth="1"/>
    <col min="1551" max="1551" width="7.33203125" style="10" bestFit="1" customWidth="1"/>
    <col min="1552" max="1797" width="8.88671875" style="10"/>
    <col min="1798" max="1798" width="11.33203125" style="10" customWidth="1"/>
    <col min="1799" max="1805" width="8.88671875" style="10"/>
    <col min="1806" max="1806" width="6" style="10" bestFit="1" customWidth="1"/>
    <col min="1807" max="1807" width="7.33203125" style="10" bestFit="1" customWidth="1"/>
    <col min="1808" max="2053" width="8.88671875" style="10"/>
    <col min="2054" max="2054" width="11.33203125" style="10" customWidth="1"/>
    <col min="2055" max="2061" width="8.88671875" style="10"/>
    <col min="2062" max="2062" width="6" style="10" bestFit="1" customWidth="1"/>
    <col min="2063" max="2063" width="7.33203125" style="10" bestFit="1" customWidth="1"/>
    <col min="2064" max="2309" width="8.88671875" style="10"/>
    <col min="2310" max="2310" width="11.33203125" style="10" customWidth="1"/>
    <col min="2311" max="2317" width="8.88671875" style="10"/>
    <col min="2318" max="2318" width="6" style="10" bestFit="1" customWidth="1"/>
    <col min="2319" max="2319" width="7.33203125" style="10" bestFit="1" customWidth="1"/>
    <col min="2320" max="2565" width="8.88671875" style="10"/>
    <col min="2566" max="2566" width="11.33203125" style="10" customWidth="1"/>
    <col min="2567" max="2573" width="8.88671875" style="10"/>
    <col min="2574" max="2574" width="6" style="10" bestFit="1" customWidth="1"/>
    <col min="2575" max="2575" width="7.33203125" style="10" bestFit="1" customWidth="1"/>
    <col min="2576" max="2821" width="8.88671875" style="10"/>
    <col min="2822" max="2822" width="11.33203125" style="10" customWidth="1"/>
    <col min="2823" max="2829" width="8.88671875" style="10"/>
    <col min="2830" max="2830" width="6" style="10" bestFit="1" customWidth="1"/>
    <col min="2831" max="2831" width="7.33203125" style="10" bestFit="1" customWidth="1"/>
    <col min="2832" max="3077" width="8.88671875" style="10"/>
    <col min="3078" max="3078" width="11.33203125" style="10" customWidth="1"/>
    <col min="3079" max="3085" width="8.88671875" style="10"/>
    <col min="3086" max="3086" width="6" style="10" bestFit="1" customWidth="1"/>
    <col min="3087" max="3087" width="7.33203125" style="10" bestFit="1" customWidth="1"/>
    <col min="3088" max="3333" width="8.88671875" style="10"/>
    <col min="3334" max="3334" width="11.33203125" style="10" customWidth="1"/>
    <col min="3335" max="3341" width="8.88671875" style="10"/>
    <col min="3342" max="3342" width="6" style="10" bestFit="1" customWidth="1"/>
    <col min="3343" max="3343" width="7.33203125" style="10" bestFit="1" customWidth="1"/>
    <col min="3344" max="3589" width="8.88671875" style="10"/>
    <col min="3590" max="3590" width="11.33203125" style="10" customWidth="1"/>
    <col min="3591" max="3597" width="8.88671875" style="10"/>
    <col min="3598" max="3598" width="6" style="10" bestFit="1" customWidth="1"/>
    <col min="3599" max="3599" width="7.33203125" style="10" bestFit="1" customWidth="1"/>
    <col min="3600" max="3845" width="8.88671875" style="10"/>
    <col min="3846" max="3846" width="11.33203125" style="10" customWidth="1"/>
    <col min="3847" max="3853" width="8.88671875" style="10"/>
    <col min="3854" max="3854" width="6" style="10" bestFit="1" customWidth="1"/>
    <col min="3855" max="3855" width="7.33203125" style="10" bestFit="1" customWidth="1"/>
    <col min="3856" max="4101" width="8.88671875" style="10"/>
    <col min="4102" max="4102" width="11.33203125" style="10" customWidth="1"/>
    <col min="4103" max="4109" width="8.88671875" style="10"/>
    <col min="4110" max="4110" width="6" style="10" bestFit="1" customWidth="1"/>
    <col min="4111" max="4111" width="7.33203125" style="10" bestFit="1" customWidth="1"/>
    <col min="4112" max="4357" width="8.88671875" style="10"/>
    <col min="4358" max="4358" width="11.33203125" style="10" customWidth="1"/>
    <col min="4359" max="4365" width="8.88671875" style="10"/>
    <col min="4366" max="4366" width="6" style="10" bestFit="1" customWidth="1"/>
    <col min="4367" max="4367" width="7.33203125" style="10" bestFit="1" customWidth="1"/>
    <col min="4368" max="4613" width="8.88671875" style="10"/>
    <col min="4614" max="4614" width="11.33203125" style="10" customWidth="1"/>
    <col min="4615" max="4621" width="8.88671875" style="10"/>
    <col min="4622" max="4622" width="6" style="10" bestFit="1" customWidth="1"/>
    <col min="4623" max="4623" width="7.33203125" style="10" bestFit="1" customWidth="1"/>
    <col min="4624" max="4869" width="8.88671875" style="10"/>
    <col min="4870" max="4870" width="11.33203125" style="10" customWidth="1"/>
    <col min="4871" max="4877" width="8.88671875" style="10"/>
    <col min="4878" max="4878" width="6" style="10" bestFit="1" customWidth="1"/>
    <col min="4879" max="4879" width="7.33203125" style="10" bestFit="1" customWidth="1"/>
    <col min="4880" max="5125" width="8.88671875" style="10"/>
    <col min="5126" max="5126" width="11.33203125" style="10" customWidth="1"/>
    <col min="5127" max="5133" width="8.88671875" style="10"/>
    <col min="5134" max="5134" width="6" style="10" bestFit="1" customWidth="1"/>
    <col min="5135" max="5135" width="7.33203125" style="10" bestFit="1" customWidth="1"/>
    <col min="5136" max="5381" width="8.88671875" style="10"/>
    <col min="5382" max="5382" width="11.33203125" style="10" customWidth="1"/>
    <col min="5383" max="5389" width="8.88671875" style="10"/>
    <col min="5390" max="5390" width="6" style="10" bestFit="1" customWidth="1"/>
    <col min="5391" max="5391" width="7.33203125" style="10" bestFit="1" customWidth="1"/>
    <col min="5392" max="5637" width="8.88671875" style="10"/>
    <col min="5638" max="5638" width="11.33203125" style="10" customWidth="1"/>
    <col min="5639" max="5645" width="8.88671875" style="10"/>
    <col min="5646" max="5646" width="6" style="10" bestFit="1" customWidth="1"/>
    <col min="5647" max="5647" width="7.33203125" style="10" bestFit="1" customWidth="1"/>
    <col min="5648" max="5893" width="8.88671875" style="10"/>
    <col min="5894" max="5894" width="11.33203125" style="10" customWidth="1"/>
    <col min="5895" max="5901" width="8.88671875" style="10"/>
    <col min="5902" max="5902" width="6" style="10" bestFit="1" customWidth="1"/>
    <col min="5903" max="5903" width="7.33203125" style="10" bestFit="1" customWidth="1"/>
    <col min="5904" max="6149" width="8.88671875" style="10"/>
    <col min="6150" max="6150" width="11.33203125" style="10" customWidth="1"/>
    <col min="6151" max="6157" width="8.88671875" style="10"/>
    <col min="6158" max="6158" width="6" style="10" bestFit="1" customWidth="1"/>
    <col min="6159" max="6159" width="7.33203125" style="10" bestFit="1" customWidth="1"/>
    <col min="6160" max="6405" width="8.88671875" style="10"/>
    <col min="6406" max="6406" width="11.33203125" style="10" customWidth="1"/>
    <col min="6407" max="6413" width="8.88671875" style="10"/>
    <col min="6414" max="6414" width="6" style="10" bestFit="1" customWidth="1"/>
    <col min="6415" max="6415" width="7.33203125" style="10" bestFit="1" customWidth="1"/>
    <col min="6416" max="6661" width="8.88671875" style="10"/>
    <col min="6662" max="6662" width="11.33203125" style="10" customWidth="1"/>
    <col min="6663" max="6669" width="8.88671875" style="10"/>
    <col min="6670" max="6670" width="6" style="10" bestFit="1" customWidth="1"/>
    <col min="6671" max="6671" width="7.33203125" style="10" bestFit="1" customWidth="1"/>
    <col min="6672" max="6917" width="8.88671875" style="10"/>
    <col min="6918" max="6918" width="11.33203125" style="10" customWidth="1"/>
    <col min="6919" max="6925" width="8.88671875" style="10"/>
    <col min="6926" max="6926" width="6" style="10" bestFit="1" customWidth="1"/>
    <col min="6927" max="6927" width="7.33203125" style="10" bestFit="1" customWidth="1"/>
    <col min="6928" max="7173" width="8.88671875" style="10"/>
    <col min="7174" max="7174" width="11.33203125" style="10" customWidth="1"/>
    <col min="7175" max="7181" width="8.88671875" style="10"/>
    <col min="7182" max="7182" width="6" style="10" bestFit="1" customWidth="1"/>
    <col min="7183" max="7183" width="7.33203125" style="10" bestFit="1" customWidth="1"/>
    <col min="7184" max="7429" width="8.88671875" style="10"/>
    <col min="7430" max="7430" width="11.33203125" style="10" customWidth="1"/>
    <col min="7431" max="7437" width="8.88671875" style="10"/>
    <col min="7438" max="7438" width="6" style="10" bestFit="1" customWidth="1"/>
    <col min="7439" max="7439" width="7.33203125" style="10" bestFit="1" customWidth="1"/>
    <col min="7440" max="7685" width="8.88671875" style="10"/>
    <col min="7686" max="7686" width="11.33203125" style="10" customWidth="1"/>
    <col min="7687" max="7693" width="8.88671875" style="10"/>
    <col min="7694" max="7694" width="6" style="10" bestFit="1" customWidth="1"/>
    <col min="7695" max="7695" width="7.33203125" style="10" bestFit="1" customWidth="1"/>
    <col min="7696" max="7941" width="8.88671875" style="10"/>
    <col min="7942" max="7942" width="11.33203125" style="10" customWidth="1"/>
    <col min="7943" max="7949" width="8.88671875" style="10"/>
    <col min="7950" max="7950" width="6" style="10" bestFit="1" customWidth="1"/>
    <col min="7951" max="7951" width="7.33203125" style="10" bestFit="1" customWidth="1"/>
    <col min="7952" max="8197" width="8.88671875" style="10"/>
    <col min="8198" max="8198" width="11.33203125" style="10" customWidth="1"/>
    <col min="8199" max="8205" width="8.88671875" style="10"/>
    <col min="8206" max="8206" width="6" style="10" bestFit="1" customWidth="1"/>
    <col min="8207" max="8207" width="7.33203125" style="10" bestFit="1" customWidth="1"/>
    <col min="8208" max="8453" width="8.88671875" style="10"/>
    <col min="8454" max="8454" width="11.33203125" style="10" customWidth="1"/>
    <col min="8455" max="8461" width="8.88671875" style="10"/>
    <col min="8462" max="8462" width="6" style="10" bestFit="1" customWidth="1"/>
    <col min="8463" max="8463" width="7.33203125" style="10" bestFit="1" customWidth="1"/>
    <col min="8464" max="8709" width="8.88671875" style="10"/>
    <col min="8710" max="8710" width="11.33203125" style="10" customWidth="1"/>
    <col min="8711" max="8717" width="8.88671875" style="10"/>
    <col min="8718" max="8718" width="6" style="10" bestFit="1" customWidth="1"/>
    <col min="8719" max="8719" width="7.33203125" style="10" bestFit="1" customWidth="1"/>
    <col min="8720" max="8965" width="8.88671875" style="10"/>
    <col min="8966" max="8966" width="11.33203125" style="10" customWidth="1"/>
    <col min="8967" max="8973" width="8.88671875" style="10"/>
    <col min="8974" max="8974" width="6" style="10" bestFit="1" customWidth="1"/>
    <col min="8975" max="8975" width="7.33203125" style="10" bestFit="1" customWidth="1"/>
    <col min="8976" max="9221" width="8.88671875" style="10"/>
    <col min="9222" max="9222" width="11.33203125" style="10" customWidth="1"/>
    <col min="9223" max="9229" width="8.88671875" style="10"/>
    <col min="9230" max="9230" width="6" style="10" bestFit="1" customWidth="1"/>
    <col min="9231" max="9231" width="7.33203125" style="10" bestFit="1" customWidth="1"/>
    <col min="9232" max="9477" width="8.88671875" style="10"/>
    <col min="9478" max="9478" width="11.33203125" style="10" customWidth="1"/>
    <col min="9479" max="9485" width="8.88671875" style="10"/>
    <col min="9486" max="9486" width="6" style="10" bestFit="1" customWidth="1"/>
    <col min="9487" max="9487" width="7.33203125" style="10" bestFit="1" customWidth="1"/>
    <col min="9488" max="9733" width="8.88671875" style="10"/>
    <col min="9734" max="9734" width="11.33203125" style="10" customWidth="1"/>
    <col min="9735" max="9741" width="8.88671875" style="10"/>
    <col min="9742" max="9742" width="6" style="10" bestFit="1" customWidth="1"/>
    <col min="9743" max="9743" width="7.33203125" style="10" bestFit="1" customWidth="1"/>
    <col min="9744" max="9989" width="8.88671875" style="10"/>
    <col min="9990" max="9990" width="11.33203125" style="10" customWidth="1"/>
    <col min="9991" max="9997" width="8.88671875" style="10"/>
    <col min="9998" max="9998" width="6" style="10" bestFit="1" customWidth="1"/>
    <col min="9999" max="9999" width="7.33203125" style="10" bestFit="1" customWidth="1"/>
    <col min="10000" max="10245" width="8.88671875" style="10"/>
    <col min="10246" max="10246" width="11.33203125" style="10" customWidth="1"/>
    <col min="10247" max="10253" width="8.88671875" style="10"/>
    <col min="10254" max="10254" width="6" style="10" bestFit="1" customWidth="1"/>
    <col min="10255" max="10255" width="7.33203125" style="10" bestFit="1" customWidth="1"/>
    <col min="10256" max="10501" width="8.88671875" style="10"/>
    <col min="10502" max="10502" width="11.33203125" style="10" customWidth="1"/>
    <col min="10503" max="10509" width="8.88671875" style="10"/>
    <col min="10510" max="10510" width="6" style="10" bestFit="1" customWidth="1"/>
    <col min="10511" max="10511" width="7.33203125" style="10" bestFit="1" customWidth="1"/>
    <col min="10512" max="10757" width="8.88671875" style="10"/>
    <col min="10758" max="10758" width="11.33203125" style="10" customWidth="1"/>
    <col min="10759" max="10765" width="8.88671875" style="10"/>
    <col min="10766" max="10766" width="6" style="10" bestFit="1" customWidth="1"/>
    <col min="10767" max="10767" width="7.33203125" style="10" bestFit="1" customWidth="1"/>
    <col min="10768" max="11013" width="8.88671875" style="10"/>
    <col min="11014" max="11014" width="11.33203125" style="10" customWidth="1"/>
    <col min="11015" max="11021" width="8.88671875" style="10"/>
    <col min="11022" max="11022" width="6" style="10" bestFit="1" customWidth="1"/>
    <col min="11023" max="11023" width="7.33203125" style="10" bestFit="1" customWidth="1"/>
    <col min="11024" max="11269" width="8.88671875" style="10"/>
    <col min="11270" max="11270" width="11.33203125" style="10" customWidth="1"/>
    <col min="11271" max="11277" width="8.88671875" style="10"/>
    <col min="11278" max="11278" width="6" style="10" bestFit="1" customWidth="1"/>
    <col min="11279" max="11279" width="7.33203125" style="10" bestFit="1" customWidth="1"/>
    <col min="11280" max="11525" width="8.88671875" style="10"/>
    <col min="11526" max="11526" width="11.33203125" style="10" customWidth="1"/>
    <col min="11527" max="11533" width="8.88671875" style="10"/>
    <col min="11534" max="11534" width="6" style="10" bestFit="1" customWidth="1"/>
    <col min="11535" max="11535" width="7.33203125" style="10" bestFit="1" customWidth="1"/>
    <col min="11536" max="11781" width="8.88671875" style="10"/>
    <col min="11782" max="11782" width="11.33203125" style="10" customWidth="1"/>
    <col min="11783" max="11789" width="8.88671875" style="10"/>
    <col min="11790" max="11790" width="6" style="10" bestFit="1" customWidth="1"/>
    <col min="11791" max="11791" width="7.33203125" style="10" bestFit="1" customWidth="1"/>
    <col min="11792" max="12037" width="8.88671875" style="10"/>
    <col min="12038" max="12038" width="11.33203125" style="10" customWidth="1"/>
    <col min="12039" max="12045" width="8.88671875" style="10"/>
    <col min="12046" max="12046" width="6" style="10" bestFit="1" customWidth="1"/>
    <col min="12047" max="12047" width="7.33203125" style="10" bestFit="1" customWidth="1"/>
    <col min="12048" max="12293" width="8.88671875" style="10"/>
    <col min="12294" max="12294" width="11.33203125" style="10" customWidth="1"/>
    <col min="12295" max="12301" width="8.88671875" style="10"/>
    <col min="12302" max="12302" width="6" style="10" bestFit="1" customWidth="1"/>
    <col min="12303" max="12303" width="7.33203125" style="10" bestFit="1" customWidth="1"/>
    <col min="12304" max="12549" width="8.88671875" style="10"/>
    <col min="12550" max="12550" width="11.33203125" style="10" customWidth="1"/>
    <col min="12551" max="12557" width="8.88671875" style="10"/>
    <col min="12558" max="12558" width="6" style="10" bestFit="1" customWidth="1"/>
    <col min="12559" max="12559" width="7.33203125" style="10" bestFit="1" customWidth="1"/>
    <col min="12560" max="12805" width="8.88671875" style="10"/>
    <col min="12806" max="12806" width="11.33203125" style="10" customWidth="1"/>
    <col min="12807" max="12813" width="8.88671875" style="10"/>
    <col min="12814" max="12814" width="6" style="10" bestFit="1" customWidth="1"/>
    <col min="12815" max="12815" width="7.33203125" style="10" bestFit="1" customWidth="1"/>
    <col min="12816" max="13061" width="8.88671875" style="10"/>
    <col min="13062" max="13062" width="11.33203125" style="10" customWidth="1"/>
    <col min="13063" max="13069" width="8.88671875" style="10"/>
    <col min="13070" max="13070" width="6" style="10" bestFit="1" customWidth="1"/>
    <col min="13071" max="13071" width="7.33203125" style="10" bestFit="1" customWidth="1"/>
    <col min="13072" max="13317" width="8.88671875" style="10"/>
    <col min="13318" max="13318" width="11.33203125" style="10" customWidth="1"/>
    <col min="13319" max="13325" width="8.88671875" style="10"/>
    <col min="13326" max="13326" width="6" style="10" bestFit="1" customWidth="1"/>
    <col min="13327" max="13327" width="7.33203125" style="10" bestFit="1" customWidth="1"/>
    <col min="13328" max="13573" width="8.88671875" style="10"/>
    <col min="13574" max="13574" width="11.33203125" style="10" customWidth="1"/>
    <col min="13575" max="13581" width="8.88671875" style="10"/>
    <col min="13582" max="13582" width="6" style="10" bestFit="1" customWidth="1"/>
    <col min="13583" max="13583" width="7.33203125" style="10" bestFit="1" customWidth="1"/>
    <col min="13584" max="13829" width="8.88671875" style="10"/>
    <col min="13830" max="13830" width="11.33203125" style="10" customWidth="1"/>
    <col min="13831" max="13837" width="8.88671875" style="10"/>
    <col min="13838" max="13838" width="6" style="10" bestFit="1" customWidth="1"/>
    <col min="13839" max="13839" width="7.33203125" style="10" bestFit="1" customWidth="1"/>
    <col min="13840" max="14085" width="8.88671875" style="10"/>
    <col min="14086" max="14086" width="11.33203125" style="10" customWidth="1"/>
    <col min="14087" max="14093" width="8.88671875" style="10"/>
    <col min="14094" max="14094" width="6" style="10" bestFit="1" customWidth="1"/>
    <col min="14095" max="14095" width="7.33203125" style="10" bestFit="1" customWidth="1"/>
    <col min="14096" max="14341" width="8.88671875" style="10"/>
    <col min="14342" max="14342" width="11.33203125" style="10" customWidth="1"/>
    <col min="14343" max="14349" width="8.88671875" style="10"/>
    <col min="14350" max="14350" width="6" style="10" bestFit="1" customWidth="1"/>
    <col min="14351" max="14351" width="7.33203125" style="10" bestFit="1" customWidth="1"/>
    <col min="14352" max="14597" width="8.88671875" style="10"/>
    <col min="14598" max="14598" width="11.33203125" style="10" customWidth="1"/>
    <col min="14599" max="14605" width="8.88671875" style="10"/>
    <col min="14606" max="14606" width="6" style="10" bestFit="1" customWidth="1"/>
    <col min="14607" max="14607" width="7.33203125" style="10" bestFit="1" customWidth="1"/>
    <col min="14608" max="14853" width="8.88671875" style="10"/>
    <col min="14854" max="14854" width="11.33203125" style="10" customWidth="1"/>
    <col min="14855" max="14861" width="8.88671875" style="10"/>
    <col min="14862" max="14862" width="6" style="10" bestFit="1" customWidth="1"/>
    <col min="14863" max="14863" width="7.33203125" style="10" bestFit="1" customWidth="1"/>
    <col min="14864" max="15109" width="8.88671875" style="10"/>
    <col min="15110" max="15110" width="11.33203125" style="10" customWidth="1"/>
    <col min="15111" max="15117" width="8.88671875" style="10"/>
    <col min="15118" max="15118" width="6" style="10" bestFit="1" customWidth="1"/>
    <col min="15119" max="15119" width="7.33203125" style="10" bestFit="1" customWidth="1"/>
    <col min="15120" max="15365" width="8.88671875" style="10"/>
    <col min="15366" max="15366" width="11.33203125" style="10" customWidth="1"/>
    <col min="15367" max="15373" width="8.88671875" style="10"/>
    <col min="15374" max="15374" width="6" style="10" bestFit="1" customWidth="1"/>
    <col min="15375" max="15375" width="7.33203125" style="10" bestFit="1" customWidth="1"/>
    <col min="15376" max="15621" width="8.88671875" style="10"/>
    <col min="15622" max="15622" width="11.33203125" style="10" customWidth="1"/>
    <col min="15623" max="15629" width="8.88671875" style="10"/>
    <col min="15630" max="15630" width="6" style="10" bestFit="1" customWidth="1"/>
    <col min="15631" max="15631" width="7.33203125" style="10" bestFit="1" customWidth="1"/>
    <col min="15632" max="15877" width="8.88671875" style="10"/>
    <col min="15878" max="15878" width="11.33203125" style="10" customWidth="1"/>
    <col min="15879" max="15885" width="8.88671875" style="10"/>
    <col min="15886" max="15886" width="6" style="10" bestFit="1" customWidth="1"/>
    <col min="15887" max="15887" width="7.33203125" style="10" bestFit="1" customWidth="1"/>
    <col min="15888" max="16133" width="8.88671875" style="10"/>
    <col min="16134" max="16134" width="11.33203125" style="10" customWidth="1"/>
    <col min="16135" max="16141" width="8.88671875" style="10"/>
    <col min="16142" max="16142" width="6" style="10" bestFit="1" customWidth="1"/>
    <col min="16143" max="16143" width="7.33203125" style="10" bestFit="1" customWidth="1"/>
    <col min="16144" max="16384" width="8.88671875" style="10"/>
  </cols>
  <sheetData>
    <row r="1" spans="1:21" ht="13.8" x14ac:dyDescent="0.25">
      <c r="S1" s="105" t="s">
        <v>1030</v>
      </c>
    </row>
    <row r="2" spans="1:21" x14ac:dyDescent="0.25">
      <c r="A2" s="116"/>
      <c r="B2" s="116"/>
      <c r="C2" s="116"/>
      <c r="D2" s="116"/>
      <c r="E2" s="116"/>
      <c r="F2" s="116"/>
      <c r="G2" s="116"/>
      <c r="H2" s="116"/>
      <c r="I2" s="116"/>
      <c r="J2" s="116"/>
      <c r="K2" s="116"/>
      <c r="L2" s="116"/>
      <c r="M2" s="116"/>
      <c r="N2" s="116"/>
      <c r="O2" s="116"/>
      <c r="P2" s="116"/>
      <c r="Q2" s="116"/>
      <c r="R2" s="116"/>
      <c r="S2" s="325" t="s">
        <v>1053</v>
      </c>
    </row>
    <row r="3" spans="1:21" x14ac:dyDescent="0.25">
      <c r="A3" s="618" t="s">
        <v>995</v>
      </c>
      <c r="B3" s="618"/>
      <c r="C3" s="618"/>
      <c r="D3" s="618"/>
      <c r="E3" s="618"/>
      <c r="F3" s="618"/>
      <c r="G3" s="618"/>
      <c r="H3" s="618"/>
      <c r="I3" s="618"/>
      <c r="J3" s="618"/>
      <c r="K3" s="618"/>
      <c r="L3" s="618"/>
      <c r="M3" s="618"/>
      <c r="N3" s="618"/>
      <c r="O3" s="618"/>
      <c r="P3" s="618"/>
      <c r="Q3" s="618"/>
      <c r="R3" s="618"/>
      <c r="S3" s="618"/>
    </row>
    <row r="4" spans="1:21" x14ac:dyDescent="0.25">
      <c r="A4" s="618"/>
      <c r="B4" s="618"/>
      <c r="C4" s="618"/>
      <c r="D4" s="618"/>
      <c r="E4" s="618"/>
      <c r="F4" s="618"/>
      <c r="G4" s="618"/>
      <c r="H4" s="618"/>
      <c r="I4" s="618"/>
      <c r="J4" s="618"/>
      <c r="K4" s="618"/>
      <c r="L4" s="618"/>
      <c r="M4" s="618"/>
      <c r="N4" s="618"/>
      <c r="O4" s="618"/>
      <c r="P4" s="618"/>
      <c r="Q4" s="618"/>
      <c r="R4" s="618"/>
      <c r="S4" s="618"/>
    </row>
    <row r="5" spans="1:21" ht="18.600000000000001" thickBot="1" x14ac:dyDescent="0.4">
      <c r="A5" s="82"/>
      <c r="B5" s="82"/>
      <c r="C5" s="82"/>
      <c r="D5" s="82"/>
      <c r="E5" s="82"/>
      <c r="F5" s="82"/>
      <c r="G5" s="82"/>
      <c r="H5" s="82"/>
      <c r="I5" s="82"/>
      <c r="J5" s="82"/>
      <c r="K5" s="82"/>
      <c r="L5" s="82"/>
      <c r="M5" s="82"/>
      <c r="N5" s="82"/>
      <c r="O5" s="82"/>
      <c r="P5" s="82"/>
      <c r="Q5" s="619"/>
      <c r="R5" s="82"/>
      <c r="S5" s="620" t="s">
        <v>25</v>
      </c>
    </row>
    <row r="6" spans="1:21" ht="79.8" thickTop="1" x14ac:dyDescent="0.25">
      <c r="A6" s="621"/>
      <c r="B6" s="622"/>
      <c r="C6" s="622"/>
      <c r="D6" s="623"/>
      <c r="E6" s="624" t="s">
        <v>297</v>
      </c>
      <c r="F6" s="625" t="s">
        <v>77</v>
      </c>
      <c r="G6" s="624" t="s">
        <v>27</v>
      </c>
      <c r="H6" s="624" t="s">
        <v>49</v>
      </c>
      <c r="I6" s="624" t="s">
        <v>50</v>
      </c>
      <c r="J6" s="624" t="s">
        <v>20</v>
      </c>
      <c r="K6" s="626" t="s">
        <v>155</v>
      </c>
      <c r="L6" s="627" t="s">
        <v>311</v>
      </c>
      <c r="M6" s="628" t="s">
        <v>312</v>
      </c>
      <c r="N6" s="624" t="s">
        <v>486</v>
      </c>
      <c r="O6" s="624" t="s">
        <v>994</v>
      </c>
      <c r="P6" s="624" t="s">
        <v>313</v>
      </c>
      <c r="Q6" s="629" t="s">
        <v>314</v>
      </c>
      <c r="R6" s="629" t="s">
        <v>155</v>
      </c>
      <c r="S6" s="630" t="s">
        <v>315</v>
      </c>
    </row>
    <row r="7" spans="1:21" x14ac:dyDescent="0.25">
      <c r="A7" s="631" t="s">
        <v>526</v>
      </c>
      <c r="B7" s="632"/>
      <c r="C7" s="632"/>
      <c r="D7" s="633"/>
      <c r="E7" s="107">
        <f>'[1]2. melléklet'!L10</f>
        <v>168000</v>
      </c>
      <c r="F7" s="107">
        <f>'[1]2. melléklet'!L11</f>
        <v>22035</v>
      </c>
      <c r="G7" s="107">
        <f>'[1]2. melléklet'!L12</f>
        <v>18138</v>
      </c>
      <c r="H7" s="107">
        <f>'[1]2. melléklet'!L15</f>
        <v>138</v>
      </c>
      <c r="I7" s="107">
        <f>'[1]2. melléklet'!L21</f>
        <v>2092</v>
      </c>
      <c r="J7" s="107">
        <f>'[1]2. melléklet'!L25</f>
        <v>4090</v>
      </c>
      <c r="K7" s="634">
        <f>SUM(E7:J7)</f>
        <v>214493</v>
      </c>
      <c r="L7" s="635">
        <v>3000</v>
      </c>
      <c r="M7" s="636">
        <v>0</v>
      </c>
      <c r="N7" s="107">
        <v>58</v>
      </c>
      <c r="O7" s="107">
        <v>973</v>
      </c>
      <c r="P7" s="107">
        <v>211172</v>
      </c>
      <c r="Q7" s="107">
        <v>-710</v>
      </c>
      <c r="R7" s="107">
        <f>SUM(L7:Q7)</f>
        <v>214493</v>
      </c>
      <c r="S7" s="637">
        <f>P7+Q7</f>
        <v>210462</v>
      </c>
      <c r="U7" s="134"/>
    </row>
    <row r="8" spans="1:21" x14ac:dyDescent="0.25">
      <c r="A8" s="631" t="s">
        <v>487</v>
      </c>
      <c r="B8" s="632"/>
      <c r="C8" s="632"/>
      <c r="D8" s="633"/>
      <c r="E8" s="107">
        <f>'[1]2. melléklet'!L29</f>
        <v>195800</v>
      </c>
      <c r="F8" s="107">
        <f>'[1]2. melléklet'!L30</f>
        <v>25572</v>
      </c>
      <c r="G8" s="107">
        <f>'[1]2. melléklet'!L31</f>
        <v>10764</v>
      </c>
      <c r="H8" s="107">
        <v>0</v>
      </c>
      <c r="I8" s="107">
        <f>'[1]2. melléklet'!L35</f>
        <v>509</v>
      </c>
      <c r="J8" s="107">
        <f>'[1]2. melléklet'!L38</f>
        <v>20423</v>
      </c>
      <c r="K8" s="634">
        <f t="shared" ref="K8:K11" si="0">SUM(E8:J8)</f>
        <v>253068</v>
      </c>
      <c r="L8" s="635">
        <v>5060</v>
      </c>
      <c r="M8" s="636">
        <v>0</v>
      </c>
      <c r="N8" s="107">
        <v>261</v>
      </c>
      <c r="O8" s="107">
        <v>1204</v>
      </c>
      <c r="P8" s="107">
        <v>219238</v>
      </c>
      <c r="Q8" s="107">
        <v>27305</v>
      </c>
      <c r="R8" s="107">
        <f t="shared" ref="R8:R11" si="1">SUM(L8:Q8)</f>
        <v>253068</v>
      </c>
      <c r="S8" s="637">
        <f t="shared" ref="S8:S11" si="2">P8+Q8</f>
        <v>246543</v>
      </c>
      <c r="U8" s="134"/>
    </row>
    <row r="9" spans="1:21" x14ac:dyDescent="0.25">
      <c r="A9" s="638" t="s">
        <v>316</v>
      </c>
      <c r="B9" s="639"/>
      <c r="C9" s="639"/>
      <c r="D9" s="640"/>
      <c r="E9" s="107">
        <f>'[1]2. melléklet'!L43</f>
        <v>87482</v>
      </c>
      <c r="F9" s="107">
        <f>'[1]2. melléklet'!L44</f>
        <v>11907</v>
      </c>
      <c r="G9" s="107">
        <f>'[1]2. melléklet'!L45</f>
        <v>210578</v>
      </c>
      <c r="H9" s="107">
        <v>0</v>
      </c>
      <c r="I9" s="107">
        <f>'[1]2. melléklet'!L48</f>
        <v>270</v>
      </c>
      <c r="J9" s="107">
        <v>0</v>
      </c>
      <c r="K9" s="634">
        <f t="shared" si="0"/>
        <v>310237</v>
      </c>
      <c r="L9" s="635">
        <v>73175</v>
      </c>
      <c r="M9" s="636">
        <v>0</v>
      </c>
      <c r="N9" s="107">
        <v>45</v>
      </c>
      <c r="O9" s="107">
        <v>1932</v>
      </c>
      <c r="P9" s="107">
        <f>389891-192316</f>
        <v>197575</v>
      </c>
      <c r="Q9" s="107">
        <v>37510</v>
      </c>
      <c r="R9" s="107">
        <f t="shared" si="1"/>
        <v>310237</v>
      </c>
      <c r="S9" s="637">
        <f t="shared" si="2"/>
        <v>235085</v>
      </c>
      <c r="U9" s="134"/>
    </row>
    <row r="10" spans="1:21" x14ac:dyDescent="0.25">
      <c r="A10" s="638" t="s">
        <v>589</v>
      </c>
      <c r="B10" s="639"/>
      <c r="C10" s="639"/>
      <c r="D10" s="640"/>
      <c r="E10" s="107">
        <f>'[1]2. melléklet'!L52</f>
        <v>70178</v>
      </c>
      <c r="F10" s="107">
        <f>'[1]2. melléklet'!L53</f>
        <v>9072</v>
      </c>
      <c r="G10" s="107">
        <f>'[1]2. melléklet'!L54</f>
        <v>30500</v>
      </c>
      <c r="H10" s="107">
        <v>0</v>
      </c>
      <c r="I10" s="107">
        <f>'[1]2. melléklet'!L57</f>
        <v>5009</v>
      </c>
      <c r="J10" s="107">
        <f>'[1]2. melléklet'!L60</f>
        <v>599</v>
      </c>
      <c r="K10" s="634">
        <f t="shared" si="0"/>
        <v>115358</v>
      </c>
      <c r="L10" s="635">
        <v>20000</v>
      </c>
      <c r="M10" s="636">
        <v>0</v>
      </c>
      <c r="N10" s="107">
        <v>14606</v>
      </c>
      <c r="O10" s="107">
        <v>428</v>
      </c>
      <c r="P10" s="107">
        <v>40443</v>
      </c>
      <c r="Q10" s="107">
        <v>39881</v>
      </c>
      <c r="R10" s="107">
        <f t="shared" si="1"/>
        <v>115358</v>
      </c>
      <c r="S10" s="637">
        <f t="shared" si="2"/>
        <v>80324</v>
      </c>
      <c r="U10" s="134"/>
    </row>
    <row r="11" spans="1:21" ht="13.8" thickBot="1" x14ac:dyDescent="0.3">
      <c r="A11" s="641" t="s">
        <v>46</v>
      </c>
      <c r="B11" s="642"/>
      <c r="C11" s="642"/>
      <c r="D11" s="643"/>
      <c r="E11" s="644">
        <f>'[1]2. melléklet'!L66</f>
        <v>386349</v>
      </c>
      <c r="F11" s="644">
        <f>'[1]2. melléklet'!L67</f>
        <v>53714</v>
      </c>
      <c r="G11" s="644">
        <f>'[1]2. melléklet'!L68</f>
        <v>68223</v>
      </c>
      <c r="H11" s="644">
        <v>0</v>
      </c>
      <c r="I11" s="644">
        <f>'[1]2. melléklet'!L74</f>
        <v>8947</v>
      </c>
      <c r="J11" s="644">
        <v>0</v>
      </c>
      <c r="K11" s="645">
        <f t="shared" si="0"/>
        <v>517233</v>
      </c>
      <c r="L11" s="646">
        <v>7000</v>
      </c>
      <c r="M11" s="647">
        <v>0</v>
      </c>
      <c r="N11" s="644">
        <v>35548</v>
      </c>
      <c r="O11" s="644">
        <v>82</v>
      </c>
      <c r="P11" s="644">
        <v>288768</v>
      </c>
      <c r="Q11" s="107">
        <v>185835</v>
      </c>
      <c r="R11" s="644">
        <f t="shared" si="1"/>
        <v>517233</v>
      </c>
      <c r="S11" s="648">
        <f t="shared" si="2"/>
        <v>474603</v>
      </c>
      <c r="U11" s="134"/>
    </row>
    <row r="12" spans="1:21" ht="14.4" thickTop="1" thickBot="1" x14ac:dyDescent="0.3">
      <c r="A12" s="649" t="s">
        <v>24</v>
      </c>
      <c r="B12" s="650"/>
      <c r="C12" s="650"/>
      <c r="D12" s="651"/>
      <c r="E12" s="652">
        <f>SUM(E7:E11)</f>
        <v>907809</v>
      </c>
      <c r="F12" s="652">
        <f t="shared" ref="F12:S12" si="3">SUM(F7:F11)</f>
        <v>122300</v>
      </c>
      <c r="G12" s="652">
        <f t="shared" si="3"/>
        <v>338203</v>
      </c>
      <c r="H12" s="652">
        <f t="shared" si="3"/>
        <v>138</v>
      </c>
      <c r="I12" s="652">
        <f t="shared" si="3"/>
        <v>16827</v>
      </c>
      <c r="J12" s="652">
        <f t="shared" si="3"/>
        <v>25112</v>
      </c>
      <c r="K12" s="653">
        <f t="shared" si="3"/>
        <v>1410389</v>
      </c>
      <c r="L12" s="654">
        <f t="shared" si="3"/>
        <v>108235</v>
      </c>
      <c r="M12" s="652">
        <f t="shared" si="3"/>
        <v>0</v>
      </c>
      <c r="N12" s="652">
        <f t="shared" si="3"/>
        <v>50518</v>
      </c>
      <c r="O12" s="652">
        <f t="shared" si="3"/>
        <v>4619</v>
      </c>
      <c r="P12" s="652">
        <f t="shared" si="3"/>
        <v>957196</v>
      </c>
      <c r="Q12" s="652">
        <f t="shared" si="3"/>
        <v>289821</v>
      </c>
      <c r="R12" s="652">
        <f t="shared" si="3"/>
        <v>1410389</v>
      </c>
      <c r="S12" s="653">
        <f t="shared" si="3"/>
        <v>1247017</v>
      </c>
    </row>
    <row r="13" spans="1:21" ht="13.8" thickTop="1" x14ac:dyDescent="0.25"/>
  </sheetData>
  <mergeCells count="2">
    <mergeCell ref="A3:S4"/>
    <mergeCell ref="A12:D12"/>
  </mergeCells>
  <pageMargins left="0.7" right="0.7" top="0.75" bottom="0.75" header="0.3" footer="0.3"/>
  <pageSetup paperSize="9" scale="7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7"/>
  <sheetViews>
    <sheetView workbookViewId="0">
      <selection sqref="A1:I1"/>
    </sheetView>
  </sheetViews>
  <sheetFormatPr defaultColWidth="9.109375" defaultRowHeight="14.4" x14ac:dyDescent="0.3"/>
  <cols>
    <col min="1" max="16384" width="9.109375" style="132"/>
  </cols>
  <sheetData>
    <row r="1" spans="1:9" ht="15.6" x14ac:dyDescent="0.3">
      <c r="A1" s="418" t="s">
        <v>1031</v>
      </c>
      <c r="B1" s="418"/>
      <c r="C1" s="418"/>
      <c r="D1" s="418"/>
      <c r="E1" s="418"/>
      <c r="F1" s="418"/>
      <c r="G1" s="418"/>
      <c r="H1" s="418"/>
      <c r="I1" s="418"/>
    </row>
    <row r="2" spans="1:9" ht="15.6" x14ac:dyDescent="0.3">
      <c r="A2" s="131"/>
      <c r="B2" s="131"/>
      <c r="C2" s="131"/>
      <c r="D2" s="131"/>
      <c r="E2" s="131"/>
      <c r="F2" s="131"/>
      <c r="G2" s="23"/>
      <c r="H2" s="131"/>
      <c r="I2" s="10"/>
    </row>
    <row r="3" spans="1:9" ht="15.6" x14ac:dyDescent="0.3">
      <c r="A3" s="419" t="s">
        <v>993</v>
      </c>
      <c r="B3" s="419"/>
      <c r="C3" s="419"/>
      <c r="D3" s="419"/>
      <c r="E3" s="419"/>
      <c r="F3" s="419"/>
      <c r="G3" s="419"/>
      <c r="H3" s="419"/>
      <c r="I3" s="419"/>
    </row>
    <row r="4" spans="1:9" ht="15.6" x14ac:dyDescent="0.3">
      <c r="A4" s="419" t="s">
        <v>197</v>
      </c>
      <c r="B4" s="419"/>
      <c r="C4" s="419"/>
      <c r="D4" s="419"/>
      <c r="E4" s="419"/>
      <c r="F4" s="419"/>
      <c r="G4" s="419"/>
      <c r="H4" s="419"/>
      <c r="I4" s="419"/>
    </row>
    <row r="5" spans="1:9" ht="15.6" x14ac:dyDescent="0.3">
      <c r="A5" s="25"/>
      <c r="B5" s="25"/>
      <c r="C5" s="25"/>
      <c r="D5" s="25"/>
      <c r="E5" s="25"/>
      <c r="F5" s="25"/>
      <c r="G5" s="26"/>
      <c r="H5" s="11"/>
      <c r="I5" s="10"/>
    </row>
    <row r="6" spans="1:9" ht="15.6" x14ac:dyDescent="0.3">
      <c r="A6" s="11"/>
      <c r="B6" s="11"/>
      <c r="C6" s="11"/>
      <c r="D6" s="11"/>
      <c r="E6" s="11"/>
      <c r="F6" s="11"/>
      <c r="G6" s="23" t="s">
        <v>25</v>
      </c>
      <c r="H6" s="11"/>
      <c r="I6" s="10"/>
    </row>
    <row r="7" spans="1:9" ht="15.6" x14ac:dyDescent="0.3">
      <c r="A7" s="11"/>
      <c r="B7" s="11"/>
      <c r="C7" s="11"/>
      <c r="D7" s="11"/>
      <c r="E7" s="11"/>
      <c r="F7" s="11"/>
      <c r="G7" s="23" t="s">
        <v>25</v>
      </c>
      <c r="H7" s="11"/>
      <c r="I7" s="10"/>
    </row>
    <row r="8" spans="1:9" ht="15.6" x14ac:dyDescent="0.3">
      <c r="A8" s="11" t="s">
        <v>198</v>
      </c>
      <c r="B8" s="11"/>
      <c r="C8" s="11"/>
      <c r="D8" s="11"/>
      <c r="E8" s="11"/>
      <c r="F8" s="11"/>
      <c r="G8" s="27">
        <v>500</v>
      </c>
      <c r="H8" s="11"/>
      <c r="I8" s="10"/>
    </row>
    <row r="9" spans="1:9" ht="15.6" x14ac:dyDescent="0.3">
      <c r="A9" s="11" t="s">
        <v>199</v>
      </c>
      <c r="B9" s="11"/>
      <c r="C9" s="11"/>
      <c r="D9" s="11"/>
      <c r="E9" s="11"/>
      <c r="F9" s="11"/>
      <c r="G9" s="27">
        <v>200</v>
      </c>
      <c r="H9" s="11"/>
      <c r="I9" s="10"/>
    </row>
    <row r="10" spans="1:9" ht="15.6" x14ac:dyDescent="0.3">
      <c r="A10" s="11" t="s">
        <v>200</v>
      </c>
      <c r="B10" s="11"/>
      <c r="C10" s="11"/>
      <c r="D10" s="11"/>
      <c r="E10" s="11"/>
      <c r="F10" s="11"/>
      <c r="G10" s="27">
        <v>500</v>
      </c>
      <c r="H10" s="11"/>
      <c r="I10" s="10"/>
    </row>
    <row r="11" spans="1:9" ht="15.6" x14ac:dyDescent="0.3">
      <c r="A11" s="11"/>
      <c r="B11" s="11"/>
      <c r="C11" s="11"/>
      <c r="D11" s="11"/>
      <c r="E11" s="11"/>
      <c r="F11" s="11"/>
      <c r="G11" s="27"/>
      <c r="H11" s="11"/>
      <c r="I11" s="10"/>
    </row>
    <row r="12" spans="1:9" ht="15.6" x14ac:dyDescent="0.3">
      <c r="A12" s="24" t="s">
        <v>24</v>
      </c>
      <c r="B12" s="11"/>
      <c r="C12" s="11"/>
      <c r="D12" s="11"/>
      <c r="E12" s="11"/>
      <c r="F12" s="11"/>
      <c r="G12" s="28">
        <f>SUM(G8:G10)</f>
        <v>1200</v>
      </c>
      <c r="H12" s="11"/>
      <c r="I12" s="10"/>
    </row>
    <row r="13" spans="1:9" ht="15.6" x14ac:dyDescent="0.3">
      <c r="A13" s="11"/>
      <c r="B13" s="11"/>
      <c r="C13" s="11"/>
      <c r="D13" s="11"/>
      <c r="E13" s="11"/>
      <c r="F13" s="11"/>
      <c r="G13" s="27"/>
      <c r="H13" s="11"/>
      <c r="I13" s="10"/>
    </row>
    <row r="14" spans="1:9" ht="15.6" x14ac:dyDescent="0.3">
      <c r="A14" s="11"/>
      <c r="B14" s="11"/>
      <c r="C14" s="11"/>
      <c r="D14" s="11"/>
      <c r="E14" s="11"/>
      <c r="F14" s="11"/>
      <c r="G14" s="27"/>
      <c r="H14" s="11"/>
      <c r="I14" s="10"/>
    </row>
    <row r="15" spans="1:9" ht="15.6" x14ac:dyDescent="0.3">
      <c r="A15" s="11"/>
      <c r="B15" s="11"/>
      <c r="C15" s="11"/>
      <c r="D15" s="11"/>
      <c r="E15" s="11"/>
      <c r="F15" s="11"/>
      <c r="G15" s="27"/>
      <c r="H15" s="11"/>
      <c r="I15" s="10"/>
    </row>
    <row r="16" spans="1:9" ht="15.6" x14ac:dyDescent="0.3">
      <c r="A16" s="11"/>
      <c r="B16" s="11"/>
      <c r="C16" s="11"/>
      <c r="D16" s="11"/>
      <c r="E16" s="11"/>
      <c r="F16" s="11"/>
      <c r="G16" s="27"/>
      <c r="H16" s="11"/>
      <c r="I16" s="10"/>
    </row>
    <row r="17" spans="1:9" ht="15.6" x14ac:dyDescent="0.3">
      <c r="A17" s="133"/>
      <c r="B17" s="10"/>
      <c r="C17" s="10"/>
      <c r="D17" s="10"/>
      <c r="E17" s="10"/>
      <c r="F17" s="10"/>
      <c r="G17" s="134"/>
      <c r="H17" s="10"/>
      <c r="I17" s="10"/>
    </row>
  </sheetData>
  <mergeCells count="3">
    <mergeCell ref="A1:I1"/>
    <mergeCell ref="A3:I3"/>
    <mergeCell ref="A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96CCE-26BB-4505-A93A-458FB442D6BB}">
  <sheetPr>
    <pageSetUpPr fitToPage="1"/>
  </sheetPr>
  <dimension ref="A1:H245"/>
  <sheetViews>
    <sheetView view="pageBreakPreview" zoomScaleNormal="100" zoomScaleSheetLayoutView="100" workbookViewId="0">
      <pane ySplit="8" topLeftCell="A9" activePane="bottomLeft" state="frozen"/>
      <selection pane="bottomLeft" activeCell="H3" sqref="H3"/>
    </sheetView>
  </sheetViews>
  <sheetFormatPr defaultColWidth="9.109375" defaultRowHeight="13.2" x14ac:dyDescent="0.25"/>
  <cols>
    <col min="1" max="1" width="6.6640625" style="10" customWidth="1"/>
    <col min="2" max="2" width="23" style="10" customWidth="1"/>
    <col min="3" max="3" width="41.44140625" style="10" customWidth="1"/>
    <col min="4" max="4" width="14.88671875" style="10" customWidth="1"/>
    <col min="5" max="7" width="14.5546875" style="10" customWidth="1"/>
    <col min="8" max="8" width="16" style="10" customWidth="1"/>
    <col min="9" max="16384" width="9.109375" style="10"/>
  </cols>
  <sheetData>
    <row r="1" spans="1:8" ht="13.8" x14ac:dyDescent="0.25">
      <c r="B1" s="297"/>
      <c r="C1" s="297"/>
      <c r="D1" s="297"/>
      <c r="E1" s="297"/>
      <c r="F1" s="297"/>
      <c r="G1" s="297"/>
      <c r="H1" s="105" t="s">
        <v>1032</v>
      </c>
    </row>
    <row r="2" spans="1:8" ht="13.8" x14ac:dyDescent="0.25">
      <c r="B2" s="297"/>
      <c r="C2" s="297"/>
      <c r="D2" s="297"/>
      <c r="E2" s="297"/>
      <c r="F2" s="297"/>
      <c r="G2" s="297"/>
      <c r="H2" s="325" t="s">
        <v>1079</v>
      </c>
    </row>
    <row r="3" spans="1:8" ht="13.8" x14ac:dyDescent="0.25">
      <c r="A3" s="298"/>
      <c r="B3" s="299"/>
      <c r="C3" s="299"/>
      <c r="D3" s="299"/>
      <c r="E3" s="299"/>
      <c r="F3" s="299"/>
      <c r="G3" s="299"/>
      <c r="H3" s="168"/>
    </row>
    <row r="4" spans="1:8" ht="13.8" x14ac:dyDescent="0.3">
      <c r="A4" s="421" t="s">
        <v>149</v>
      </c>
      <c r="B4" s="421"/>
      <c r="C4" s="421"/>
      <c r="D4" s="421"/>
      <c r="E4" s="421"/>
      <c r="F4" s="421"/>
      <c r="G4" s="421"/>
      <c r="H4" s="421"/>
    </row>
    <row r="5" spans="1:8" ht="13.8" x14ac:dyDescent="0.3">
      <c r="A5" s="298"/>
      <c r="B5" s="300"/>
      <c r="C5" s="298"/>
      <c r="D5" s="301"/>
      <c r="E5" s="301"/>
      <c r="F5" s="301"/>
      <c r="G5" s="301"/>
      <c r="H5" s="301"/>
    </row>
    <row r="6" spans="1:8" ht="15.6" x14ac:dyDescent="0.3">
      <c r="A6" s="422" t="s">
        <v>150</v>
      </c>
      <c r="B6" s="422"/>
      <c r="C6" s="422"/>
      <c r="D6" s="422"/>
      <c r="E6" s="422"/>
      <c r="F6" s="422"/>
      <c r="G6" s="422"/>
      <c r="H6" s="422"/>
    </row>
    <row r="7" spans="1:8" ht="13.8" x14ac:dyDescent="0.25">
      <c r="A7" s="298"/>
      <c r="B7" s="302"/>
      <c r="C7" s="303"/>
      <c r="D7" s="302"/>
      <c r="E7" s="302"/>
      <c r="F7" s="302"/>
      <c r="G7" s="302"/>
      <c r="H7" s="304" t="s">
        <v>151</v>
      </c>
    </row>
    <row r="8" spans="1:8" ht="13.8" x14ac:dyDescent="0.25">
      <c r="A8" s="305" t="s">
        <v>152</v>
      </c>
      <c r="B8" s="306" t="s">
        <v>153</v>
      </c>
      <c r="C8" s="306" t="s">
        <v>154</v>
      </c>
      <c r="D8" s="306" t="s">
        <v>592</v>
      </c>
      <c r="E8" s="306" t="s">
        <v>185</v>
      </c>
      <c r="F8" s="306" t="s">
        <v>186</v>
      </c>
      <c r="G8" s="306" t="s">
        <v>187</v>
      </c>
      <c r="H8" s="307" t="s">
        <v>155</v>
      </c>
    </row>
    <row r="9" spans="1:8" ht="13.8" x14ac:dyDescent="0.25">
      <c r="A9" s="305"/>
      <c r="B9" s="306"/>
      <c r="C9" s="306"/>
      <c r="D9" s="306"/>
      <c r="E9" s="306"/>
      <c r="F9" s="306"/>
      <c r="G9" s="306"/>
      <c r="H9" s="307"/>
    </row>
    <row r="10" spans="1:8" ht="26.4" x14ac:dyDescent="0.25">
      <c r="A10" s="308">
        <v>1</v>
      </c>
      <c r="B10" s="309" t="s">
        <v>597</v>
      </c>
      <c r="C10" s="310" t="s">
        <v>598</v>
      </c>
      <c r="D10" s="306"/>
      <c r="E10" s="306"/>
      <c r="F10" s="306"/>
      <c r="G10" s="306"/>
      <c r="H10" s="307"/>
    </row>
    <row r="11" spans="1:8" ht="13.8" x14ac:dyDescent="0.25">
      <c r="A11" s="305"/>
      <c r="B11" s="311" t="s">
        <v>31</v>
      </c>
      <c r="C11" s="306"/>
      <c r="D11" s="306"/>
      <c r="E11" s="306"/>
      <c r="F11" s="306"/>
      <c r="G11" s="306"/>
      <c r="H11" s="307"/>
    </row>
    <row r="12" spans="1:8" ht="13.8" x14ac:dyDescent="0.25">
      <c r="A12" s="305"/>
      <c r="B12" s="312" t="s">
        <v>156</v>
      </c>
      <c r="C12" s="313"/>
      <c r="D12" s="301">
        <v>188998596</v>
      </c>
      <c r="E12" s="301">
        <v>61203222</v>
      </c>
      <c r="F12" s="301">
        <v>26368430</v>
      </c>
      <c r="G12" s="301"/>
      <c r="H12" s="301">
        <f>SUM(D12:F12)</f>
        <v>276570248</v>
      </c>
    </row>
    <row r="13" spans="1:8" ht="13.8" x14ac:dyDescent="0.25">
      <c r="A13" s="305"/>
      <c r="B13" s="312" t="s">
        <v>179</v>
      </c>
      <c r="C13" s="313"/>
      <c r="D13" s="301"/>
      <c r="E13" s="301"/>
      <c r="F13" s="301">
        <v>60168664</v>
      </c>
      <c r="G13" s="301"/>
      <c r="H13" s="301">
        <f>SUM(D13:F13)</f>
        <v>60168664</v>
      </c>
    </row>
    <row r="14" spans="1:8" ht="13.8" x14ac:dyDescent="0.3">
      <c r="A14" s="314"/>
      <c r="B14" s="315" t="s">
        <v>26</v>
      </c>
      <c r="C14" s="316"/>
      <c r="D14" s="317">
        <f>SUM(D12:D12)</f>
        <v>188998596</v>
      </c>
      <c r="E14" s="317">
        <f>SUM(E12:E12)</f>
        <v>61203222</v>
      </c>
      <c r="F14" s="317">
        <f>SUM(F12:F13)</f>
        <v>86537094</v>
      </c>
      <c r="G14" s="317"/>
      <c r="H14" s="317">
        <f>SUM(H12:H13)</f>
        <v>336738912</v>
      </c>
    </row>
    <row r="15" spans="1:8" ht="13.8" x14ac:dyDescent="0.25">
      <c r="A15" s="305"/>
      <c r="B15" s="306"/>
      <c r="C15" s="306"/>
      <c r="D15" s="306"/>
      <c r="E15" s="306"/>
      <c r="F15" s="306"/>
      <c r="G15" s="306"/>
      <c r="H15" s="307"/>
    </row>
    <row r="16" spans="1:8" ht="39.6" x14ac:dyDescent="0.25">
      <c r="A16" s="308">
        <v>2</v>
      </c>
      <c r="B16" s="309" t="s">
        <v>157</v>
      </c>
      <c r="C16" s="310" t="s">
        <v>158</v>
      </c>
      <c r="D16" s="306"/>
      <c r="E16" s="306"/>
      <c r="F16" s="306"/>
      <c r="G16" s="306"/>
      <c r="H16" s="307"/>
    </row>
    <row r="17" spans="1:8" ht="13.8" x14ac:dyDescent="0.25">
      <c r="A17" s="305"/>
      <c r="B17" s="311" t="s">
        <v>31</v>
      </c>
      <c r="C17" s="306"/>
      <c r="D17" s="306"/>
      <c r="E17" s="306"/>
      <c r="F17" s="306"/>
      <c r="G17" s="306"/>
      <c r="H17" s="307"/>
    </row>
    <row r="18" spans="1:8" ht="13.8" x14ac:dyDescent="0.25">
      <c r="A18" s="305"/>
      <c r="B18" s="312" t="s">
        <v>156</v>
      </c>
      <c r="C18" s="313"/>
      <c r="D18" s="301">
        <v>12208872</v>
      </c>
      <c r="E18" s="301">
        <v>0</v>
      </c>
      <c r="F18" s="301">
        <v>0</v>
      </c>
      <c r="G18" s="301"/>
      <c r="H18" s="301">
        <f>SUM(D18:F18)</f>
        <v>12208872</v>
      </c>
    </row>
    <row r="19" spans="1:8" ht="13.8" x14ac:dyDescent="0.3">
      <c r="A19" s="318"/>
      <c r="B19" s="319" t="s">
        <v>26</v>
      </c>
      <c r="C19" s="320"/>
      <c r="D19" s="321">
        <f>SUM(D18:D18)</f>
        <v>12208872</v>
      </c>
      <c r="E19" s="321">
        <f>SUM(E18:E18)</f>
        <v>0</v>
      </c>
      <c r="F19" s="321">
        <f>SUM(F18:F18)</f>
        <v>0</v>
      </c>
      <c r="G19" s="321"/>
      <c r="H19" s="321">
        <f>SUM(H18:H18)</f>
        <v>12208872</v>
      </c>
    </row>
    <row r="20" spans="1:8" ht="13.8" x14ac:dyDescent="0.3">
      <c r="A20" s="298"/>
      <c r="B20" s="361"/>
      <c r="C20" s="306"/>
      <c r="D20" s="322"/>
      <c r="E20" s="322"/>
      <c r="F20" s="322"/>
      <c r="G20" s="322"/>
      <c r="H20" s="322"/>
    </row>
    <row r="21" spans="1:8" ht="39.6" x14ac:dyDescent="0.25">
      <c r="A21" s="308">
        <v>3</v>
      </c>
      <c r="B21" s="309" t="s">
        <v>161</v>
      </c>
      <c r="C21" s="310" t="s">
        <v>162</v>
      </c>
      <c r="D21" s="306"/>
      <c r="E21" s="306"/>
      <c r="F21" s="306"/>
      <c r="G21" s="306"/>
      <c r="H21" s="307"/>
    </row>
    <row r="22" spans="1:8" ht="13.8" x14ac:dyDescent="0.25">
      <c r="A22" s="305"/>
      <c r="B22" s="311" t="s">
        <v>31</v>
      </c>
      <c r="C22" s="306"/>
      <c r="D22" s="306"/>
      <c r="E22" s="306"/>
      <c r="F22" s="306"/>
      <c r="G22" s="306"/>
      <c r="H22" s="307"/>
    </row>
    <row r="23" spans="1:8" ht="13.8" x14ac:dyDescent="0.25">
      <c r="A23" s="305"/>
      <c r="B23" s="312" t="s">
        <v>156</v>
      </c>
      <c r="C23" s="313"/>
      <c r="D23" s="301">
        <v>9660954</v>
      </c>
      <c r="E23" s="301">
        <v>1071600</v>
      </c>
      <c r="F23" s="301">
        <v>535096</v>
      </c>
      <c r="G23" s="301"/>
      <c r="H23" s="301">
        <f>SUM(D23:G23)</f>
        <v>11267650</v>
      </c>
    </row>
    <row r="24" spans="1:8" ht="13.8" x14ac:dyDescent="0.25">
      <c r="A24" s="305"/>
      <c r="B24" s="312" t="s">
        <v>982</v>
      </c>
      <c r="C24" s="313"/>
      <c r="D24" s="301"/>
      <c r="E24" s="301"/>
      <c r="F24" s="301">
        <v>156097</v>
      </c>
      <c r="G24" s="301">
        <v>258000</v>
      </c>
      <c r="H24" s="301">
        <f>SUM(D24:G24)</f>
        <v>414097</v>
      </c>
    </row>
    <row r="25" spans="1:8" ht="13.8" x14ac:dyDescent="0.3">
      <c r="A25" s="318"/>
      <c r="B25" s="319" t="s">
        <v>26</v>
      </c>
      <c r="C25" s="320"/>
      <c r="D25" s="321">
        <f>SUM(D23:D23)</f>
        <v>9660954</v>
      </c>
      <c r="E25" s="321">
        <f>SUM(E23:E23)</f>
        <v>1071600</v>
      </c>
      <c r="F25" s="321">
        <f>SUM(F23:F24)</f>
        <v>691193</v>
      </c>
      <c r="G25" s="321">
        <f t="shared" ref="G25:H25" si="0">SUM(G23:G24)</f>
        <v>258000</v>
      </c>
      <c r="H25" s="321">
        <f t="shared" si="0"/>
        <v>11681747</v>
      </c>
    </row>
    <row r="26" spans="1:8" ht="13.8" x14ac:dyDescent="0.3">
      <c r="A26" s="298"/>
      <c r="B26" s="361"/>
      <c r="C26" s="306"/>
      <c r="D26" s="322"/>
      <c r="E26" s="322"/>
      <c r="F26" s="322"/>
      <c r="G26" s="322"/>
      <c r="H26" s="322"/>
    </row>
    <row r="27" spans="1:8" ht="52.8" x14ac:dyDescent="0.25">
      <c r="A27" s="308">
        <v>4</v>
      </c>
      <c r="B27" s="309" t="s">
        <v>159</v>
      </c>
      <c r="C27" s="310" t="s">
        <v>160</v>
      </c>
      <c r="D27" s="306"/>
      <c r="E27" s="306"/>
      <c r="F27" s="306"/>
      <c r="G27" s="306"/>
      <c r="H27" s="307"/>
    </row>
    <row r="28" spans="1:8" ht="13.8" x14ac:dyDescent="0.25">
      <c r="A28" s="305"/>
      <c r="B28" s="311" t="s">
        <v>31</v>
      </c>
      <c r="C28" s="306"/>
      <c r="D28" s="306"/>
      <c r="E28" s="306"/>
      <c r="F28" s="306"/>
      <c r="G28" s="306"/>
      <c r="H28" s="307"/>
    </row>
    <row r="29" spans="1:8" ht="13.8" x14ac:dyDescent="0.25">
      <c r="A29" s="305"/>
      <c r="B29" s="312" t="s">
        <v>156</v>
      </c>
      <c r="C29" s="313"/>
      <c r="D29" s="301">
        <v>20596471</v>
      </c>
      <c r="E29" s="301">
        <v>0</v>
      </c>
      <c r="F29" s="301">
        <v>2591762</v>
      </c>
      <c r="G29" s="301">
        <v>340000</v>
      </c>
      <c r="H29" s="301">
        <f>SUM(D29:G29)</f>
        <v>23528233</v>
      </c>
    </row>
    <row r="30" spans="1:8" ht="13.8" x14ac:dyDescent="0.25">
      <c r="A30" s="305"/>
      <c r="B30" s="312" t="s">
        <v>982</v>
      </c>
      <c r="C30" s="313"/>
      <c r="D30" s="301"/>
      <c r="E30" s="301"/>
      <c r="G30" s="301">
        <v>253157</v>
      </c>
      <c r="H30" s="301">
        <f>SUM(D30:G30)</f>
        <v>253157</v>
      </c>
    </row>
    <row r="31" spans="1:8" ht="13.8" x14ac:dyDescent="0.3">
      <c r="A31" s="318"/>
      <c r="B31" s="319" t="s">
        <v>26</v>
      </c>
      <c r="C31" s="320"/>
      <c r="D31" s="321">
        <f>SUM(D29:D30)</f>
        <v>20596471</v>
      </c>
      <c r="E31" s="321">
        <f t="shared" ref="E31:G31" si="1">SUM(E29:E30)</f>
        <v>0</v>
      </c>
      <c r="F31" s="321">
        <f t="shared" si="1"/>
        <v>2591762</v>
      </c>
      <c r="G31" s="321">
        <f t="shared" si="1"/>
        <v>593157</v>
      </c>
      <c r="H31" s="321">
        <f>SUM(H29:H30)</f>
        <v>23781390</v>
      </c>
    </row>
    <row r="32" spans="1:8" ht="13.8" x14ac:dyDescent="0.25">
      <c r="A32" s="305"/>
      <c r="B32" s="306"/>
      <c r="C32" s="306"/>
      <c r="D32" s="306"/>
      <c r="E32" s="306"/>
      <c r="F32" s="306"/>
      <c r="G32" s="306"/>
      <c r="H32" s="307"/>
    </row>
    <row r="33" spans="1:8" ht="26.4" x14ac:dyDescent="0.25">
      <c r="A33" s="308">
        <v>5</v>
      </c>
      <c r="B33" s="309" t="s">
        <v>595</v>
      </c>
      <c r="C33" s="310" t="s">
        <v>596</v>
      </c>
      <c r="D33" s="306"/>
      <c r="E33" s="306"/>
      <c r="F33" s="306"/>
      <c r="G33" s="306"/>
      <c r="H33" s="307"/>
    </row>
    <row r="34" spans="1:8" ht="13.8" x14ac:dyDescent="0.25">
      <c r="A34" s="305"/>
      <c r="B34" s="311" t="s">
        <v>31</v>
      </c>
      <c r="C34" s="306"/>
      <c r="D34" s="306"/>
      <c r="E34" s="306"/>
      <c r="F34" s="306"/>
      <c r="G34" s="306"/>
      <c r="H34" s="307"/>
    </row>
    <row r="35" spans="1:8" ht="13.8" x14ac:dyDescent="0.25">
      <c r="A35" s="305"/>
      <c r="B35" s="312" t="s">
        <v>156</v>
      </c>
      <c r="C35" s="313"/>
      <c r="D35" s="301">
        <v>0</v>
      </c>
      <c r="E35" s="301">
        <v>222596761</v>
      </c>
      <c r="F35" s="301">
        <v>30341547</v>
      </c>
      <c r="G35" s="301"/>
      <c r="H35" s="301">
        <f>SUM(D35:F35)</f>
        <v>252938308</v>
      </c>
    </row>
    <row r="36" spans="1:8" ht="13.8" x14ac:dyDescent="0.3">
      <c r="A36" s="318"/>
      <c r="B36" s="319" t="s">
        <v>26</v>
      </c>
      <c r="C36" s="320"/>
      <c r="D36" s="321">
        <f>SUM(D35:D35)</f>
        <v>0</v>
      </c>
      <c r="E36" s="321">
        <f>SUM(E35:E35)</f>
        <v>222596761</v>
      </c>
      <c r="F36" s="321">
        <f>SUM(F35:F35)</f>
        <v>30341547</v>
      </c>
      <c r="G36" s="321"/>
      <c r="H36" s="321">
        <f>SUM(H35:H35)</f>
        <v>252938308</v>
      </c>
    </row>
    <row r="37" spans="1:8" ht="13.8" x14ac:dyDescent="0.3">
      <c r="A37" s="298"/>
      <c r="B37" s="361"/>
      <c r="C37" s="306"/>
      <c r="D37" s="322"/>
      <c r="E37" s="322"/>
      <c r="F37" s="322"/>
      <c r="G37" s="322"/>
      <c r="H37" s="322"/>
    </row>
    <row r="38" spans="1:8" ht="26.4" x14ac:dyDescent="0.25">
      <c r="A38" s="308">
        <v>6</v>
      </c>
      <c r="B38" s="309" t="s">
        <v>163</v>
      </c>
      <c r="C38" s="310" t="s">
        <v>164</v>
      </c>
      <c r="D38" s="306"/>
      <c r="E38" s="306"/>
      <c r="F38" s="306"/>
      <c r="G38" s="306"/>
      <c r="H38" s="307"/>
    </row>
    <row r="39" spans="1:8" ht="13.8" x14ac:dyDescent="0.25">
      <c r="A39" s="305"/>
      <c r="B39" s="311" t="s">
        <v>31</v>
      </c>
      <c r="C39" s="306"/>
      <c r="D39" s="306"/>
      <c r="E39" s="306"/>
      <c r="F39" s="306"/>
      <c r="G39" s="306"/>
      <c r="H39" s="307"/>
    </row>
    <row r="40" spans="1:8" ht="13.8" x14ac:dyDescent="0.25">
      <c r="A40" s="305"/>
      <c r="B40" s="312" t="s">
        <v>156</v>
      </c>
      <c r="C40" s="313"/>
      <c r="D40" s="301">
        <v>146722416</v>
      </c>
      <c r="E40" s="301">
        <v>906399</v>
      </c>
      <c r="F40" s="301">
        <v>13360152</v>
      </c>
      <c r="G40" s="301"/>
      <c r="H40" s="301">
        <f>SUM(D40:G40)</f>
        <v>160988967</v>
      </c>
    </row>
    <row r="41" spans="1:8" x14ac:dyDescent="0.25">
      <c r="A41" s="301"/>
      <c r="B41" s="312" t="s">
        <v>982</v>
      </c>
      <c r="C41" s="301"/>
      <c r="D41" s="301"/>
      <c r="E41" s="301"/>
      <c r="F41" s="301">
        <v>110490</v>
      </c>
      <c r="G41" s="301"/>
      <c r="H41" s="301">
        <f>SUM(D41:G41)</f>
        <v>110490</v>
      </c>
    </row>
    <row r="42" spans="1:8" ht="13.8" x14ac:dyDescent="0.3">
      <c r="A42" s="318"/>
      <c r="B42" s="319" t="s">
        <v>26</v>
      </c>
      <c r="C42" s="320"/>
      <c r="D42" s="321">
        <f>SUM(D40:D40)</f>
        <v>146722416</v>
      </c>
      <c r="E42" s="321">
        <f>SUM(E40:E40)</f>
        <v>906399</v>
      </c>
      <c r="F42" s="321">
        <f>SUM(F40:F41)</f>
        <v>13470642</v>
      </c>
      <c r="G42" s="321"/>
      <c r="H42" s="323">
        <f>SUM(D42:F42)</f>
        <v>161099457</v>
      </c>
    </row>
    <row r="43" spans="1:8" ht="13.8" x14ac:dyDescent="0.3">
      <c r="A43" s="298"/>
      <c r="B43" s="361"/>
      <c r="C43" s="306"/>
      <c r="D43" s="322"/>
      <c r="E43" s="322"/>
      <c r="F43" s="322"/>
      <c r="G43" s="322"/>
      <c r="H43" s="322"/>
    </row>
    <row r="44" spans="1:8" ht="26.4" x14ac:dyDescent="0.25">
      <c r="A44" s="308">
        <v>7</v>
      </c>
      <c r="B44" s="309" t="s">
        <v>165</v>
      </c>
      <c r="C44" s="310" t="s">
        <v>166</v>
      </c>
      <c r="D44" s="306"/>
      <c r="E44" s="306"/>
      <c r="F44" s="306"/>
      <c r="G44" s="306"/>
      <c r="H44" s="307"/>
    </row>
    <row r="45" spans="1:8" ht="13.8" x14ac:dyDescent="0.25">
      <c r="A45" s="305"/>
      <c r="B45" s="311" t="s">
        <v>31</v>
      </c>
      <c r="C45" s="306"/>
      <c r="D45" s="306"/>
      <c r="E45" s="306"/>
      <c r="F45" s="306"/>
      <c r="G45" s="306"/>
      <c r="H45" s="307"/>
    </row>
    <row r="46" spans="1:8" ht="13.8" x14ac:dyDescent="0.25">
      <c r="A46" s="305"/>
      <c r="B46" s="312" t="s">
        <v>156</v>
      </c>
      <c r="C46" s="313"/>
      <c r="D46" s="301">
        <v>130923815</v>
      </c>
      <c r="E46" s="301">
        <v>4637285</v>
      </c>
      <c r="F46" s="301">
        <v>0</v>
      </c>
      <c r="G46" s="301"/>
      <c r="H46" s="301">
        <f>SUM(D46:F46)</f>
        <v>135561100</v>
      </c>
    </row>
    <row r="47" spans="1:8" ht="13.8" x14ac:dyDescent="0.3">
      <c r="A47" s="318"/>
      <c r="B47" s="319" t="s">
        <v>26</v>
      </c>
      <c r="C47" s="320"/>
      <c r="D47" s="321">
        <f>SUM(D46:D46)</f>
        <v>130923815</v>
      </c>
      <c r="E47" s="321">
        <f>SUM(E46:E46)</f>
        <v>4637285</v>
      </c>
      <c r="F47" s="321">
        <f>SUM(F46:F46)</f>
        <v>0</v>
      </c>
      <c r="G47" s="321"/>
      <c r="H47" s="321">
        <f>SUM(H46:H46)</f>
        <v>135561100</v>
      </c>
    </row>
    <row r="48" spans="1:8" ht="13.8" x14ac:dyDescent="0.3">
      <c r="A48" s="298"/>
      <c r="B48" s="361"/>
      <c r="C48" s="306"/>
      <c r="D48" s="322"/>
      <c r="E48" s="322"/>
      <c r="F48" s="322"/>
      <c r="G48" s="322"/>
      <c r="H48" s="322"/>
    </row>
    <row r="49" spans="1:8" x14ac:dyDescent="0.25">
      <c r="A49" s="308">
        <v>8</v>
      </c>
      <c r="B49" s="309" t="s">
        <v>201</v>
      </c>
      <c r="C49" s="324" t="s">
        <v>202</v>
      </c>
    </row>
    <row r="50" spans="1:8" ht="13.8" x14ac:dyDescent="0.3">
      <c r="A50" s="298"/>
      <c r="B50" s="361"/>
      <c r="C50" s="306"/>
    </row>
    <row r="51" spans="1:8" ht="13.8" x14ac:dyDescent="0.3">
      <c r="A51" s="298"/>
      <c r="B51" s="311" t="s">
        <v>31</v>
      </c>
      <c r="C51" s="306"/>
      <c r="D51" s="322"/>
      <c r="E51" s="322"/>
      <c r="F51" s="322"/>
      <c r="G51" s="322"/>
      <c r="H51" s="322"/>
    </row>
    <row r="52" spans="1:8" s="659" customFormat="1" ht="13.8" x14ac:dyDescent="0.25">
      <c r="A52" s="655"/>
      <c r="B52" s="656" t="s">
        <v>203</v>
      </c>
      <c r="C52" s="657"/>
      <c r="D52" s="658">
        <v>86366819</v>
      </c>
      <c r="E52" s="658"/>
      <c r="F52" s="658">
        <v>60266041</v>
      </c>
      <c r="G52" s="658"/>
      <c r="H52" s="658">
        <f>SUM(D52:F52)</f>
        <v>146632860</v>
      </c>
    </row>
    <row r="53" spans="1:8" s="659" customFormat="1" ht="13.8" x14ac:dyDescent="0.25">
      <c r="A53" s="655"/>
      <c r="B53" s="660" t="s">
        <v>179</v>
      </c>
      <c r="C53" s="657"/>
      <c r="D53" s="658">
        <v>326500</v>
      </c>
      <c r="E53" s="658"/>
      <c r="F53" s="658">
        <v>2841240</v>
      </c>
      <c r="G53" s="658"/>
      <c r="H53" s="658">
        <f>SUM(D53:F53)</f>
        <v>3167740</v>
      </c>
    </row>
    <row r="54" spans="1:8" ht="13.8" x14ac:dyDescent="0.3">
      <c r="A54" s="326"/>
      <c r="B54" s="327" t="s">
        <v>26</v>
      </c>
      <c r="C54" s="320"/>
      <c r="D54" s="321">
        <f>SUM(D52:D53)</f>
        <v>86693319</v>
      </c>
      <c r="E54" s="321">
        <f t="shared" ref="E54:H54" si="2">SUM(E52:E53)</f>
        <v>0</v>
      </c>
      <c r="F54" s="321">
        <f t="shared" si="2"/>
        <v>63107281</v>
      </c>
      <c r="G54" s="321"/>
      <c r="H54" s="321">
        <f t="shared" si="2"/>
        <v>149800600</v>
      </c>
    </row>
    <row r="55" spans="1:8" ht="13.8" x14ac:dyDescent="0.3">
      <c r="B55" s="328"/>
      <c r="C55" s="329"/>
      <c r="D55" s="330"/>
      <c r="E55" s="330"/>
      <c r="F55" s="322"/>
      <c r="G55" s="322"/>
      <c r="H55" s="322"/>
    </row>
    <row r="56" spans="1:8" ht="13.8" x14ac:dyDescent="0.3">
      <c r="B56" s="328"/>
      <c r="C56" s="306"/>
      <c r="D56" s="322"/>
      <c r="E56" s="322"/>
      <c r="F56" s="322"/>
      <c r="G56" s="322"/>
      <c r="H56" s="322"/>
    </row>
    <row r="57" spans="1:8" ht="26.4" x14ac:dyDescent="0.25">
      <c r="A57" s="308">
        <v>9</v>
      </c>
      <c r="B57" s="309" t="s">
        <v>167</v>
      </c>
      <c r="C57" s="310" t="s">
        <v>168</v>
      </c>
      <c r="D57" s="306"/>
      <c r="E57" s="306"/>
      <c r="F57" s="306"/>
      <c r="G57" s="306"/>
      <c r="H57" s="307"/>
    </row>
    <row r="58" spans="1:8" ht="13.8" x14ac:dyDescent="0.25">
      <c r="A58" s="305"/>
      <c r="B58" s="311" t="s">
        <v>31</v>
      </c>
      <c r="C58" s="306"/>
      <c r="D58" s="306"/>
      <c r="E58" s="306"/>
      <c r="F58" s="306"/>
      <c r="G58" s="306"/>
      <c r="H58" s="307"/>
    </row>
    <row r="59" spans="1:8" ht="13.8" x14ac:dyDescent="0.25">
      <c r="A59" s="305"/>
      <c r="B59" s="312" t="s">
        <v>156</v>
      </c>
      <c r="C59" s="313"/>
      <c r="D59" s="301">
        <v>182311166</v>
      </c>
      <c r="E59" s="301">
        <v>0</v>
      </c>
      <c r="F59" s="301">
        <v>4813379</v>
      </c>
      <c r="G59" s="301"/>
      <c r="H59" s="301">
        <f>SUM(D59:F59)</f>
        <v>187124545</v>
      </c>
    </row>
    <row r="60" spans="1:8" ht="13.8" x14ac:dyDescent="0.25">
      <c r="A60" s="305"/>
      <c r="B60" s="312" t="s">
        <v>179</v>
      </c>
      <c r="C60" s="313"/>
      <c r="D60" s="301">
        <v>5237866</v>
      </c>
      <c r="E60" s="301"/>
      <c r="F60" s="301">
        <v>1716183</v>
      </c>
      <c r="G60" s="301"/>
      <c r="H60" s="301">
        <f>SUM(D60:F60)</f>
        <v>6954049</v>
      </c>
    </row>
    <row r="61" spans="1:8" ht="26.4" x14ac:dyDescent="0.25">
      <c r="A61" s="305"/>
      <c r="B61" s="331" t="s">
        <v>983</v>
      </c>
      <c r="C61" s="313"/>
      <c r="D61" s="301"/>
      <c r="E61" s="301"/>
      <c r="F61" s="301">
        <v>300503721</v>
      </c>
      <c r="G61" s="301"/>
      <c r="H61" s="301">
        <f>SUM(D61:F61)</f>
        <v>300503721</v>
      </c>
    </row>
    <row r="62" spans="1:8" ht="13.8" x14ac:dyDescent="0.3">
      <c r="A62" s="318"/>
      <c r="B62" s="319" t="s">
        <v>26</v>
      </c>
      <c r="C62" s="320"/>
      <c r="D62" s="321">
        <f>SUM(D59:D60)</f>
        <v>187549032</v>
      </c>
      <c r="E62" s="321">
        <f t="shared" ref="E62" si="3">SUM(E59:E60)</f>
        <v>0</v>
      </c>
      <c r="F62" s="321">
        <f>SUM(F59:F61)</f>
        <v>307033283</v>
      </c>
      <c r="G62" s="321"/>
      <c r="H62" s="321">
        <f>SUM(H59:H61)</f>
        <v>494582315</v>
      </c>
    </row>
    <row r="63" spans="1:8" ht="13.8" x14ac:dyDescent="0.3">
      <c r="B63" s="328"/>
      <c r="C63" s="329"/>
      <c r="D63" s="322"/>
      <c r="E63" s="330"/>
      <c r="F63" s="322"/>
      <c r="G63" s="322"/>
      <c r="H63" s="322"/>
    </row>
    <row r="64" spans="1:8" ht="13.8" x14ac:dyDescent="0.3">
      <c r="B64" s="328"/>
      <c r="C64" s="306"/>
      <c r="D64" s="322"/>
      <c r="E64" s="322"/>
      <c r="F64" s="322"/>
      <c r="G64" s="322"/>
      <c r="H64" s="322"/>
    </row>
    <row r="65" spans="1:8" ht="39.6" x14ac:dyDescent="0.25">
      <c r="A65" s="308">
        <v>10</v>
      </c>
      <c r="B65" s="332" t="s">
        <v>204</v>
      </c>
      <c r="C65" s="310" t="s">
        <v>205</v>
      </c>
      <c r="E65" s="306"/>
      <c r="F65" s="306"/>
      <c r="G65" s="306"/>
      <c r="H65" s="307"/>
    </row>
    <row r="66" spans="1:8" ht="13.8" x14ac:dyDescent="0.25">
      <c r="A66" s="333"/>
      <c r="B66" s="334"/>
      <c r="C66" s="310"/>
      <c r="E66" s="306"/>
      <c r="F66" s="306"/>
      <c r="G66" s="306"/>
      <c r="H66" s="307"/>
    </row>
    <row r="67" spans="1:8" ht="13.8" x14ac:dyDescent="0.25">
      <c r="A67" s="333"/>
      <c r="B67" s="335" t="s">
        <v>31</v>
      </c>
      <c r="C67" s="310"/>
      <c r="E67" s="306"/>
      <c r="F67" s="306"/>
      <c r="G67" s="306"/>
      <c r="H67" s="307"/>
    </row>
    <row r="68" spans="1:8" ht="13.8" x14ac:dyDescent="0.25">
      <c r="B68" s="336" t="s">
        <v>203</v>
      </c>
      <c r="C68" s="306"/>
      <c r="D68" s="337">
        <v>227367360</v>
      </c>
      <c r="E68" s="338">
        <v>0</v>
      </c>
      <c r="F68" s="338">
        <v>57212817</v>
      </c>
      <c r="G68" s="338"/>
      <c r="H68" s="301">
        <f>SUM(D68:F68)</f>
        <v>284580177</v>
      </c>
    </row>
    <row r="69" spans="1:8" ht="13.8" x14ac:dyDescent="0.25">
      <c r="B69" s="312" t="s">
        <v>179</v>
      </c>
      <c r="C69" s="306"/>
      <c r="D69" s="337"/>
      <c r="E69" s="337"/>
      <c r="F69" s="337">
        <v>6642376</v>
      </c>
      <c r="G69" s="337"/>
      <c r="H69" s="301">
        <f>SUM(D69:F69)</f>
        <v>6642376</v>
      </c>
    </row>
    <row r="70" spans="1:8" ht="13.8" x14ac:dyDescent="0.3">
      <c r="A70" s="326"/>
      <c r="B70" s="327" t="s">
        <v>26</v>
      </c>
      <c r="C70" s="320"/>
      <c r="D70" s="339">
        <f>SUM(D68:D69)</f>
        <v>227367360</v>
      </c>
      <c r="E70" s="339">
        <f t="shared" ref="E70:H70" si="4">SUM(E68:E69)</f>
        <v>0</v>
      </c>
      <c r="F70" s="339">
        <f t="shared" si="4"/>
        <v>63855193</v>
      </c>
      <c r="G70" s="339"/>
      <c r="H70" s="339">
        <f t="shared" si="4"/>
        <v>291222553</v>
      </c>
    </row>
    <row r="71" spans="1:8" ht="13.8" x14ac:dyDescent="0.3">
      <c r="B71" s="328"/>
      <c r="C71" s="329"/>
      <c r="D71" s="322"/>
      <c r="E71" s="330"/>
      <c r="F71" s="340"/>
      <c r="G71" s="340"/>
      <c r="H71" s="340"/>
    </row>
    <row r="72" spans="1:8" ht="26.4" x14ac:dyDescent="0.25">
      <c r="A72" s="308">
        <v>11</v>
      </c>
      <c r="B72" s="309" t="s">
        <v>520</v>
      </c>
      <c r="C72" s="310" t="s">
        <v>521</v>
      </c>
      <c r="D72" s="306"/>
      <c r="E72" s="306"/>
      <c r="F72" s="306"/>
      <c r="G72" s="306"/>
      <c r="H72" s="307"/>
    </row>
    <row r="73" spans="1:8" ht="13.8" x14ac:dyDescent="0.25">
      <c r="A73" s="305"/>
      <c r="B73" s="311" t="s">
        <v>31</v>
      </c>
      <c r="C73" s="306"/>
      <c r="D73" s="306"/>
      <c r="E73" s="306"/>
      <c r="F73" s="306"/>
      <c r="G73" s="306"/>
      <c r="H73" s="307"/>
    </row>
    <row r="74" spans="1:8" ht="13.8" x14ac:dyDescent="0.25">
      <c r="A74" s="305"/>
      <c r="B74" s="312" t="s">
        <v>156</v>
      </c>
      <c r="C74" s="313"/>
      <c r="D74" s="301">
        <v>93582060</v>
      </c>
      <c r="E74" s="301">
        <v>945274</v>
      </c>
      <c r="F74" s="301">
        <v>0</v>
      </c>
      <c r="G74" s="301"/>
      <c r="H74" s="301">
        <f>SUM(D74:F74)</f>
        <v>94527334</v>
      </c>
    </row>
    <row r="75" spans="1:8" ht="13.8" x14ac:dyDescent="0.25">
      <c r="A75" s="305"/>
      <c r="B75" s="312" t="s">
        <v>179</v>
      </c>
      <c r="C75" s="313"/>
      <c r="D75" s="301">
        <v>0</v>
      </c>
      <c r="E75" s="301">
        <v>23216707</v>
      </c>
      <c r="F75" s="301">
        <v>0</v>
      </c>
      <c r="G75" s="301"/>
      <c r="H75" s="301">
        <f>SUM(D75:F75)</f>
        <v>23216707</v>
      </c>
    </row>
    <row r="76" spans="1:8" ht="13.8" x14ac:dyDescent="0.3">
      <c r="A76" s="318"/>
      <c r="B76" s="319" t="s">
        <v>26</v>
      </c>
      <c r="C76" s="320"/>
      <c r="D76" s="321">
        <f>SUM(D74:D75)</f>
        <v>93582060</v>
      </c>
      <c r="E76" s="321">
        <f t="shared" ref="E76:H76" si="5">SUM(E74:E75)</f>
        <v>24161981</v>
      </c>
      <c r="F76" s="321">
        <f t="shared" si="5"/>
        <v>0</v>
      </c>
      <c r="G76" s="321"/>
      <c r="H76" s="321">
        <f t="shared" si="5"/>
        <v>117744041</v>
      </c>
    </row>
    <row r="77" spans="1:8" ht="13.8" x14ac:dyDescent="0.3">
      <c r="B77" s="328"/>
      <c r="C77" s="306"/>
      <c r="D77" s="340"/>
      <c r="E77" s="340"/>
      <c r="F77" s="340"/>
      <c r="G77" s="340"/>
      <c r="H77" s="340"/>
    </row>
    <row r="78" spans="1:8" ht="13.8" x14ac:dyDescent="0.25">
      <c r="A78" s="308">
        <v>12</v>
      </c>
      <c r="B78" s="309" t="s">
        <v>518</v>
      </c>
      <c r="C78" s="310" t="s">
        <v>519</v>
      </c>
      <c r="D78" s="306"/>
      <c r="E78" s="306"/>
      <c r="F78" s="306"/>
      <c r="G78" s="306"/>
      <c r="H78" s="307"/>
    </row>
    <row r="79" spans="1:8" ht="13.8" x14ac:dyDescent="0.25">
      <c r="A79" s="305"/>
      <c r="B79" s="311" t="s">
        <v>31</v>
      </c>
      <c r="C79" s="306"/>
      <c r="D79" s="306"/>
      <c r="E79" s="306"/>
      <c r="F79" s="306"/>
      <c r="G79" s="306"/>
      <c r="H79" s="307"/>
    </row>
    <row r="80" spans="1:8" ht="13.8" x14ac:dyDescent="0.25">
      <c r="A80" s="305"/>
      <c r="B80" s="312" t="s">
        <v>156</v>
      </c>
      <c r="C80" s="313"/>
      <c r="D80" s="301">
        <v>0</v>
      </c>
      <c r="E80" s="301"/>
      <c r="F80" s="301">
        <v>135999981</v>
      </c>
      <c r="G80" s="301"/>
      <c r="H80" s="301">
        <f>SUM(D80:F80)</f>
        <v>135999981</v>
      </c>
    </row>
    <row r="81" spans="1:8" ht="13.8" x14ac:dyDescent="0.25">
      <c r="A81" s="305"/>
      <c r="B81" s="312" t="s">
        <v>179</v>
      </c>
      <c r="C81" s="313"/>
      <c r="D81" s="301">
        <v>1076498</v>
      </c>
      <c r="E81" s="301">
        <v>0</v>
      </c>
      <c r="F81" s="301">
        <v>0</v>
      </c>
      <c r="G81" s="301"/>
      <c r="H81" s="301">
        <f>SUM(D81:F81)</f>
        <v>1076498</v>
      </c>
    </row>
    <row r="82" spans="1:8" ht="13.8" x14ac:dyDescent="0.3">
      <c r="A82" s="318"/>
      <c r="B82" s="319" t="s">
        <v>26</v>
      </c>
      <c r="C82" s="320"/>
      <c r="D82" s="321">
        <f>SUM(D80:D81)</f>
        <v>1076498</v>
      </c>
      <c r="E82" s="321">
        <f t="shared" ref="E82:H82" si="6">SUM(E80:E81)</f>
        <v>0</v>
      </c>
      <c r="F82" s="321">
        <f t="shared" si="6"/>
        <v>135999981</v>
      </c>
      <c r="G82" s="321"/>
      <c r="H82" s="321">
        <f t="shared" si="6"/>
        <v>137076479</v>
      </c>
    </row>
    <row r="83" spans="1:8" ht="13.8" x14ac:dyDescent="0.3">
      <c r="A83" s="298"/>
      <c r="B83" s="361"/>
      <c r="C83" s="306"/>
      <c r="D83" s="322"/>
      <c r="E83" s="322"/>
      <c r="F83" s="322"/>
      <c r="G83" s="322"/>
      <c r="H83" s="322"/>
    </row>
    <row r="84" spans="1:8" ht="66" x14ac:dyDescent="0.25">
      <c r="A84" s="308">
        <v>13</v>
      </c>
      <c r="B84" s="309" t="s">
        <v>522</v>
      </c>
      <c r="C84" s="310" t="s">
        <v>523</v>
      </c>
      <c r="D84" s="306"/>
      <c r="E84" s="306"/>
      <c r="F84" s="306"/>
      <c r="G84" s="306"/>
      <c r="H84" s="307"/>
    </row>
    <row r="85" spans="1:8" ht="13.8" x14ac:dyDescent="0.25">
      <c r="A85" s="305"/>
      <c r="B85" s="311" t="s">
        <v>31</v>
      </c>
      <c r="C85" s="306"/>
      <c r="D85" s="306"/>
      <c r="E85" s="306"/>
      <c r="F85" s="306"/>
      <c r="G85" s="306"/>
      <c r="H85" s="307"/>
    </row>
    <row r="86" spans="1:8" ht="13.8" x14ac:dyDescent="0.25">
      <c r="A86" s="305"/>
      <c r="B86" s="312" t="s">
        <v>156</v>
      </c>
      <c r="C86" s="313"/>
      <c r="D86" s="301">
        <v>4848860</v>
      </c>
      <c r="E86" s="301">
        <v>0</v>
      </c>
      <c r="F86" s="301">
        <v>0</v>
      </c>
      <c r="G86" s="301"/>
      <c r="H86" s="301">
        <f>SUM(D86:F86)</f>
        <v>4848860</v>
      </c>
    </row>
    <row r="87" spans="1:8" ht="13.8" x14ac:dyDescent="0.3">
      <c r="A87" s="318"/>
      <c r="B87" s="319" t="s">
        <v>26</v>
      </c>
      <c r="C87" s="320"/>
      <c r="D87" s="321">
        <f>SUM(D86:D86)</f>
        <v>4848860</v>
      </c>
      <c r="E87" s="321">
        <f>SUM(E86:E86)</f>
        <v>0</v>
      </c>
      <c r="F87" s="321">
        <f>SUM(F86:F86)</f>
        <v>0</v>
      </c>
      <c r="G87" s="321"/>
      <c r="H87" s="321">
        <f>SUM(H86:H86)</f>
        <v>4848860</v>
      </c>
    </row>
    <row r="88" spans="1:8" ht="13.8" x14ac:dyDescent="0.3">
      <c r="A88" s="298"/>
      <c r="B88" s="361"/>
      <c r="C88" s="306"/>
      <c r="D88" s="322"/>
      <c r="E88" s="322"/>
      <c r="F88" s="322"/>
      <c r="G88" s="322"/>
      <c r="H88" s="322"/>
    </row>
    <row r="89" spans="1:8" ht="26.4" x14ac:dyDescent="0.25">
      <c r="A89" s="308">
        <v>14</v>
      </c>
      <c r="B89" s="309" t="s">
        <v>714</v>
      </c>
      <c r="C89" s="310" t="s">
        <v>715</v>
      </c>
      <c r="D89" s="306"/>
      <c r="E89" s="306"/>
      <c r="F89" s="306"/>
      <c r="G89" s="306"/>
      <c r="H89" s="307"/>
    </row>
    <row r="90" spans="1:8" ht="13.8" x14ac:dyDescent="0.25">
      <c r="A90" s="305"/>
      <c r="B90" s="311" t="s">
        <v>31</v>
      </c>
      <c r="C90" s="306"/>
      <c r="D90" s="306"/>
      <c r="E90" s="306"/>
      <c r="F90" s="306"/>
      <c r="G90" s="306"/>
      <c r="H90" s="307"/>
    </row>
    <row r="91" spans="1:8" ht="13.8" x14ac:dyDescent="0.25">
      <c r="A91" s="305"/>
      <c r="B91" s="312" t="s">
        <v>156</v>
      </c>
      <c r="C91" s="313"/>
      <c r="D91" s="301">
        <v>0</v>
      </c>
      <c r="E91" s="301">
        <v>118454688</v>
      </c>
      <c r="F91" s="301">
        <v>0</v>
      </c>
      <c r="G91" s="301"/>
      <c r="H91" s="301">
        <f>SUM(D91:F91)</f>
        <v>118454688</v>
      </c>
    </row>
    <row r="92" spans="1:8" ht="13.8" x14ac:dyDescent="0.3">
      <c r="A92" s="314"/>
      <c r="B92" s="315" t="s">
        <v>26</v>
      </c>
      <c r="C92" s="316"/>
      <c r="D92" s="317">
        <f>SUM(D91:D91)</f>
        <v>0</v>
      </c>
      <c r="E92" s="317">
        <f>SUM(E91:E91)</f>
        <v>118454688</v>
      </c>
      <c r="F92" s="317">
        <f>SUM(F91:F91)</f>
        <v>0</v>
      </c>
      <c r="G92" s="317"/>
      <c r="H92" s="317">
        <f>SUM(H91:H91)</f>
        <v>118454688</v>
      </c>
    </row>
    <row r="93" spans="1:8" ht="13.8" x14ac:dyDescent="0.3">
      <c r="A93" s="298"/>
      <c r="B93" s="361"/>
      <c r="C93" s="306"/>
      <c r="D93" s="322"/>
      <c r="E93" s="322"/>
      <c r="F93" s="322"/>
      <c r="G93" s="322"/>
      <c r="H93" s="322"/>
    </row>
    <row r="94" spans="1:8" ht="26.4" x14ac:dyDescent="0.25">
      <c r="A94" s="308">
        <v>15</v>
      </c>
      <c r="B94" s="309" t="s">
        <v>984</v>
      </c>
      <c r="C94" s="310" t="s">
        <v>985</v>
      </c>
      <c r="D94" s="306"/>
      <c r="E94" s="306"/>
      <c r="F94" s="306"/>
      <c r="G94" s="306"/>
      <c r="H94" s="307"/>
    </row>
    <row r="95" spans="1:8" ht="13.8" x14ac:dyDescent="0.25">
      <c r="A95" s="305"/>
      <c r="B95" s="311" t="s">
        <v>31</v>
      </c>
      <c r="C95" s="306"/>
      <c r="D95" s="306"/>
      <c r="E95" s="306"/>
      <c r="F95" s="306"/>
      <c r="G95" s="306"/>
      <c r="H95" s="307"/>
    </row>
    <row r="96" spans="1:8" ht="13.8" x14ac:dyDescent="0.25">
      <c r="A96" s="305"/>
      <c r="B96" s="312" t="s">
        <v>156</v>
      </c>
      <c r="C96" s="313"/>
      <c r="D96" s="301">
        <v>0</v>
      </c>
      <c r="E96" s="301">
        <v>378567754</v>
      </c>
      <c r="F96" s="301">
        <v>0</v>
      </c>
      <c r="G96" s="301"/>
      <c r="H96" s="301">
        <f>SUM(D96:F96)</f>
        <v>378567754</v>
      </c>
    </row>
    <row r="97" spans="1:8" ht="13.8" x14ac:dyDescent="0.3">
      <c r="A97" s="314"/>
      <c r="B97" s="315" t="s">
        <v>26</v>
      </c>
      <c r="C97" s="316"/>
      <c r="D97" s="317">
        <f>SUM(D96:D96)</f>
        <v>0</v>
      </c>
      <c r="E97" s="317">
        <f>SUM(E96:E96)</f>
        <v>378567754</v>
      </c>
      <c r="F97" s="317">
        <f>SUM(F96:F96)</f>
        <v>0</v>
      </c>
      <c r="G97" s="317"/>
      <c r="H97" s="317">
        <f>SUM(H96:H96)</f>
        <v>378567754</v>
      </c>
    </row>
    <row r="98" spans="1:8" ht="13.8" x14ac:dyDescent="0.3">
      <c r="A98" s="298"/>
      <c r="B98" s="361"/>
      <c r="C98" s="306"/>
      <c r="D98" s="322"/>
      <c r="E98" s="322"/>
      <c r="F98" s="322"/>
      <c r="G98" s="322"/>
      <c r="H98" s="322"/>
    </row>
    <row r="99" spans="1:8" ht="39.6" x14ac:dyDescent="0.25">
      <c r="A99" s="308">
        <v>16</v>
      </c>
      <c r="B99" s="309" t="s">
        <v>986</v>
      </c>
      <c r="C99" s="310" t="s">
        <v>987</v>
      </c>
      <c r="D99" s="306"/>
      <c r="E99" s="306"/>
      <c r="F99" s="306"/>
      <c r="G99" s="306"/>
      <c r="H99" s="307"/>
    </row>
    <row r="100" spans="1:8" ht="13.8" x14ac:dyDescent="0.25">
      <c r="A100" s="305"/>
      <c r="B100" s="311" t="s">
        <v>31</v>
      </c>
      <c r="C100" s="306"/>
      <c r="D100" s="306"/>
      <c r="E100" s="306"/>
      <c r="F100" s="306"/>
      <c r="G100" s="306"/>
      <c r="H100" s="307"/>
    </row>
    <row r="101" spans="1:8" ht="13.8" x14ac:dyDescent="0.25">
      <c r="A101" s="305"/>
      <c r="B101" s="312" t="s">
        <v>156</v>
      </c>
      <c r="C101" s="313"/>
      <c r="D101" s="301">
        <v>0</v>
      </c>
      <c r="E101" s="301">
        <v>367160008</v>
      </c>
      <c r="F101" s="301">
        <v>0</v>
      </c>
      <c r="G101" s="301"/>
      <c r="H101" s="301">
        <f>SUM(D101:F101)</f>
        <v>367160008</v>
      </c>
    </row>
    <row r="102" spans="1:8" ht="13.8" x14ac:dyDescent="0.3">
      <c r="A102" s="314"/>
      <c r="B102" s="315" t="s">
        <v>26</v>
      </c>
      <c r="C102" s="316"/>
      <c r="D102" s="317">
        <f>SUM(D101:D101)</f>
        <v>0</v>
      </c>
      <c r="E102" s="317">
        <f>SUM(E101:E101)</f>
        <v>367160008</v>
      </c>
      <c r="F102" s="317">
        <f>SUM(F101:F101)</f>
        <v>0</v>
      </c>
      <c r="G102" s="317"/>
      <c r="H102" s="317">
        <f>SUM(H101:H101)</f>
        <v>367160008</v>
      </c>
    </row>
    <row r="103" spans="1:8" ht="13.8" x14ac:dyDescent="0.3">
      <c r="A103" s="298"/>
      <c r="B103" s="361"/>
      <c r="C103" s="306"/>
      <c r="D103" s="322"/>
      <c r="E103" s="322"/>
      <c r="F103" s="322"/>
      <c r="G103" s="322"/>
      <c r="H103" s="322"/>
    </row>
    <row r="104" spans="1:8" ht="26.4" x14ac:dyDescent="0.25">
      <c r="A104" s="308">
        <v>17</v>
      </c>
      <c r="B104" s="309" t="s">
        <v>988</v>
      </c>
      <c r="C104" s="310" t="s">
        <v>989</v>
      </c>
      <c r="D104" s="306"/>
      <c r="E104" s="306"/>
      <c r="F104" s="306"/>
      <c r="G104" s="306"/>
      <c r="H104" s="307"/>
    </row>
    <row r="105" spans="1:8" ht="13.8" x14ac:dyDescent="0.25">
      <c r="A105" s="305"/>
      <c r="B105" s="311" t="s">
        <v>31</v>
      </c>
      <c r="C105" s="306"/>
      <c r="D105" s="306"/>
      <c r="E105" s="306"/>
      <c r="F105" s="306"/>
      <c r="G105" s="306"/>
      <c r="H105" s="307"/>
    </row>
    <row r="106" spans="1:8" ht="13.8" x14ac:dyDescent="0.25">
      <c r="A106" s="305"/>
      <c r="B106" s="312" t="s">
        <v>156</v>
      </c>
      <c r="C106" s="313"/>
      <c r="D106" s="301">
        <v>0</v>
      </c>
      <c r="E106" s="301">
        <v>365351631</v>
      </c>
      <c r="F106" s="301">
        <v>0</v>
      </c>
      <c r="G106" s="301"/>
      <c r="H106" s="301">
        <f>SUM(D106:F106)</f>
        <v>365351631</v>
      </c>
    </row>
    <row r="107" spans="1:8" ht="13.8" x14ac:dyDescent="0.3">
      <c r="A107" s="314"/>
      <c r="B107" s="315" t="s">
        <v>26</v>
      </c>
      <c r="C107" s="316"/>
      <c r="D107" s="317">
        <f>SUM(D106:D106)</f>
        <v>0</v>
      </c>
      <c r="E107" s="317">
        <f>SUM(E106:E106)</f>
        <v>365351631</v>
      </c>
      <c r="F107" s="317">
        <f>SUM(F106:F106)</f>
        <v>0</v>
      </c>
      <c r="G107" s="317"/>
      <c r="H107" s="317">
        <f>SUM(H106:H106)</f>
        <v>365351631</v>
      </c>
    </row>
    <row r="108" spans="1:8" ht="13.8" x14ac:dyDescent="0.25">
      <c r="A108" s="305"/>
      <c r="B108" s="306"/>
      <c r="C108" s="306"/>
      <c r="D108" s="306"/>
      <c r="E108" s="306"/>
      <c r="F108" s="306"/>
      <c r="G108" s="306"/>
      <c r="H108" s="307"/>
    </row>
    <row r="109" spans="1:8" ht="15.6" x14ac:dyDescent="0.3">
      <c r="A109" s="341"/>
      <c r="B109" s="420" t="s">
        <v>169</v>
      </c>
      <c r="C109" s="420"/>
      <c r="D109" s="342">
        <f>D14+D19+D25+D31+D36+D42+D47+D54+D62+D70+D76+D82+D87+D92+D97+D102+CQ107+D107</f>
        <v>1110228253</v>
      </c>
      <c r="E109" s="342">
        <f>E14+E19+E25+E31+E36+E42+E47+E54+E62+E70+E76+E82+E87+E92+E97+E102+CR107+E107</f>
        <v>1544111329</v>
      </c>
      <c r="F109" s="342">
        <f>F14+F19+F25+F31+F36+F42+F47+F54+F62+F70+F76+F82+F87+F92+F97+F102+CS107+F107</f>
        <v>703627976</v>
      </c>
      <c r="G109" s="342">
        <f>G14+G19+G25+G31+G36+G42+G47+G54+G62+G70+G76+G82+G87+G92+G97+G102+CT107</f>
        <v>851157</v>
      </c>
      <c r="H109" s="342">
        <f>SUM(H14,H19,H25,H31,H36,H42,H47,H54,H62,H70,H76,H82,H87,H92,H97,H102,H107,)</f>
        <v>3358818715</v>
      </c>
    </row>
    <row r="110" spans="1:8" ht="15.6" x14ac:dyDescent="0.3">
      <c r="A110" s="341"/>
      <c r="B110" s="359"/>
      <c r="C110" s="359"/>
      <c r="D110" s="342"/>
      <c r="E110" s="342"/>
      <c r="F110" s="342"/>
      <c r="G110" s="342"/>
      <c r="H110" s="342"/>
    </row>
    <row r="111" spans="1:8" ht="15.6" x14ac:dyDescent="0.3">
      <c r="A111" s="422" t="s">
        <v>170</v>
      </c>
      <c r="B111" s="422"/>
      <c r="C111" s="422"/>
      <c r="D111" s="422"/>
      <c r="E111" s="422"/>
      <c r="F111" s="422"/>
      <c r="G111" s="422"/>
      <c r="H111" s="422"/>
    </row>
    <row r="112" spans="1:8" ht="13.8" x14ac:dyDescent="0.3">
      <c r="A112" s="423" t="s">
        <v>151</v>
      </c>
      <c r="B112" s="423"/>
      <c r="C112" s="423"/>
      <c r="D112" s="423"/>
      <c r="E112" s="423"/>
      <c r="F112" s="423"/>
      <c r="G112" s="423"/>
      <c r="H112" s="423"/>
    </row>
    <row r="113" spans="1:8" ht="13.8" x14ac:dyDescent="0.3">
      <c r="A113" s="305" t="s">
        <v>152</v>
      </c>
      <c r="B113" s="360" t="s">
        <v>153</v>
      </c>
      <c r="C113" s="306" t="s">
        <v>154</v>
      </c>
      <c r="D113" s="306" t="s">
        <v>592</v>
      </c>
      <c r="E113" s="306" t="s">
        <v>185</v>
      </c>
      <c r="F113" s="306" t="s">
        <v>186</v>
      </c>
      <c r="G113" s="306" t="s">
        <v>187</v>
      </c>
      <c r="H113" s="307" t="s">
        <v>155</v>
      </c>
    </row>
    <row r="114" spans="1:8" x14ac:dyDescent="0.25">
      <c r="A114" s="298"/>
      <c r="B114" s="344"/>
      <c r="C114" s="298"/>
      <c r="D114" s="345"/>
      <c r="E114" s="345"/>
      <c r="F114" s="345"/>
      <c r="G114" s="345"/>
      <c r="H114" s="301"/>
    </row>
    <row r="115" spans="1:8" ht="26.4" x14ac:dyDescent="0.3">
      <c r="A115" s="308">
        <v>1</v>
      </c>
      <c r="B115" s="309" t="s">
        <v>597</v>
      </c>
      <c r="C115" s="310" t="s">
        <v>598</v>
      </c>
      <c r="D115" s="322"/>
      <c r="E115" s="322"/>
      <c r="F115" s="322"/>
      <c r="G115" s="322"/>
      <c r="H115" s="343"/>
    </row>
    <row r="116" spans="1:8" x14ac:dyDescent="0.25">
      <c r="A116" s="298"/>
      <c r="B116" s="311" t="s">
        <v>31</v>
      </c>
    </row>
    <row r="117" spans="1:8" ht="18.75" customHeight="1" x14ac:dyDescent="0.25">
      <c r="A117" s="298"/>
      <c r="B117" s="312" t="s">
        <v>171</v>
      </c>
      <c r="C117" s="298" t="s">
        <v>174</v>
      </c>
      <c r="D117" s="301">
        <v>0</v>
      </c>
      <c r="E117" s="301">
        <v>0</v>
      </c>
      <c r="F117" s="301">
        <v>734335</v>
      </c>
      <c r="G117" s="301"/>
      <c r="H117" s="301">
        <v>734335</v>
      </c>
    </row>
    <row r="118" spans="1:8" ht="26.25" customHeight="1" x14ac:dyDescent="0.25">
      <c r="A118" s="298"/>
      <c r="B118" s="312"/>
      <c r="C118" s="331" t="s">
        <v>593</v>
      </c>
      <c r="D118" s="301">
        <v>0</v>
      </c>
      <c r="E118" s="301">
        <f>127681740-43680596</f>
        <v>84001144</v>
      </c>
      <c r="F118" s="301">
        <f>208322837+43680596</f>
        <v>252003433</v>
      </c>
      <c r="G118" s="301">
        <v>0</v>
      </c>
      <c r="H118" s="301">
        <f>SUM(D118:G118)</f>
        <v>336004577</v>
      </c>
    </row>
    <row r="119" spans="1:8" ht="13.8" x14ac:dyDescent="0.3">
      <c r="A119" s="314"/>
      <c r="B119" s="315" t="s">
        <v>26</v>
      </c>
      <c r="C119" s="316"/>
      <c r="D119" s="317">
        <f>SUM(D118:D118)</f>
        <v>0</v>
      </c>
      <c r="E119" s="317">
        <f>SUM(E117:E118)</f>
        <v>84001144</v>
      </c>
      <c r="F119" s="317">
        <f t="shared" ref="F119:H119" si="7">SUM(F117:F118)</f>
        <v>252737768</v>
      </c>
      <c r="G119" s="317">
        <f t="shared" si="7"/>
        <v>0</v>
      </c>
      <c r="H119" s="317">
        <f t="shared" si="7"/>
        <v>336738912</v>
      </c>
    </row>
    <row r="120" spans="1:8" ht="13.8" x14ac:dyDescent="0.3">
      <c r="A120" s="298"/>
      <c r="B120" s="361"/>
      <c r="C120" s="306"/>
      <c r="D120" s="322"/>
      <c r="E120" s="322"/>
      <c r="F120" s="322"/>
      <c r="G120" s="322"/>
      <c r="H120" s="322"/>
    </row>
    <row r="121" spans="1:8" ht="39.6" x14ac:dyDescent="0.3">
      <c r="A121" s="308">
        <v>2</v>
      </c>
      <c r="B121" s="309" t="s">
        <v>157</v>
      </c>
      <c r="C121" s="310" t="s">
        <v>158</v>
      </c>
      <c r="D121" s="322"/>
      <c r="E121" s="322"/>
      <c r="F121" s="322"/>
      <c r="G121" s="322"/>
      <c r="H121" s="343"/>
    </row>
    <row r="122" spans="1:8" x14ac:dyDescent="0.25">
      <c r="A122" s="298"/>
      <c r="B122" s="311" t="s">
        <v>31</v>
      </c>
      <c r="C122" s="298"/>
      <c r="D122" s="301"/>
      <c r="E122" s="301"/>
      <c r="F122" s="301"/>
      <c r="G122" s="301"/>
      <c r="H122" s="301"/>
    </row>
    <row r="123" spans="1:8" x14ac:dyDescent="0.25">
      <c r="A123" s="298"/>
      <c r="B123" s="312" t="s">
        <v>171</v>
      </c>
      <c r="C123" s="313" t="s">
        <v>172</v>
      </c>
      <c r="D123" s="301">
        <v>5781406</v>
      </c>
      <c r="E123" s="301">
        <v>120000</v>
      </c>
      <c r="F123" s="301">
        <v>0</v>
      </c>
      <c r="G123" s="301"/>
      <c r="H123" s="301">
        <f t="shared" ref="H123:H128" si="8">SUM(D123:F123)</f>
        <v>5901406</v>
      </c>
    </row>
    <row r="124" spans="1:8" x14ac:dyDescent="0.25">
      <c r="A124" s="298"/>
      <c r="B124" s="312"/>
      <c r="C124" s="313" t="s">
        <v>173</v>
      </c>
      <c r="D124" s="301">
        <v>1045534</v>
      </c>
      <c r="E124" s="301">
        <v>46704</v>
      </c>
      <c r="F124" s="301">
        <v>0</v>
      </c>
      <c r="G124" s="301"/>
      <c r="H124" s="301">
        <f t="shared" si="8"/>
        <v>1092238</v>
      </c>
    </row>
    <row r="125" spans="1:8" x14ac:dyDescent="0.25">
      <c r="A125" s="298"/>
      <c r="B125" s="312"/>
      <c r="C125" s="313" t="s">
        <v>174</v>
      </c>
      <c r="D125" s="301">
        <v>2829122</v>
      </c>
      <c r="E125" s="301">
        <v>690000</v>
      </c>
      <c r="F125" s="301">
        <v>823000</v>
      </c>
      <c r="G125" s="301"/>
      <c r="H125" s="301">
        <f t="shared" si="8"/>
        <v>4342122</v>
      </c>
    </row>
    <row r="126" spans="1:8" x14ac:dyDescent="0.25">
      <c r="A126" s="298"/>
      <c r="B126" s="312"/>
      <c r="C126" s="313" t="s">
        <v>175</v>
      </c>
      <c r="D126" s="301">
        <v>14580</v>
      </c>
      <c r="E126" s="301">
        <v>0</v>
      </c>
      <c r="F126" s="301">
        <v>0</v>
      </c>
      <c r="G126" s="301"/>
      <c r="H126" s="301">
        <f t="shared" si="8"/>
        <v>14580</v>
      </c>
    </row>
    <row r="127" spans="1:8" x14ac:dyDescent="0.25">
      <c r="A127" s="298"/>
      <c r="B127" s="312"/>
      <c r="C127" s="313" t="s">
        <v>177</v>
      </c>
      <c r="D127" s="301">
        <v>0</v>
      </c>
      <c r="E127" s="301"/>
      <c r="F127" s="301">
        <v>0</v>
      </c>
      <c r="G127" s="301"/>
      <c r="H127" s="301">
        <f t="shared" si="8"/>
        <v>0</v>
      </c>
    </row>
    <row r="128" spans="1:8" s="14" customFormat="1" x14ac:dyDescent="0.25">
      <c r="A128" s="298"/>
      <c r="B128" s="10"/>
      <c r="C128" s="313" t="s">
        <v>990</v>
      </c>
      <c r="D128" s="301">
        <v>0</v>
      </c>
      <c r="E128" s="301">
        <v>0</v>
      </c>
      <c r="F128" s="301">
        <v>858526</v>
      </c>
      <c r="G128" s="301"/>
      <c r="H128" s="301">
        <f t="shared" si="8"/>
        <v>858526</v>
      </c>
    </row>
    <row r="129" spans="1:8" s="14" customFormat="1" ht="13.8" x14ac:dyDescent="0.3">
      <c r="A129" s="320"/>
      <c r="B129" s="319" t="s">
        <v>26</v>
      </c>
      <c r="C129" s="346"/>
      <c r="D129" s="321">
        <f>SUM(D123:D128)</f>
        <v>9670642</v>
      </c>
      <c r="E129" s="321">
        <f>SUM(E123:E128)</f>
        <v>856704</v>
      </c>
      <c r="F129" s="321">
        <f>SUM(F123:F128)</f>
        <v>1681526</v>
      </c>
      <c r="G129" s="321"/>
      <c r="H129" s="321">
        <f>SUM(H123:H128)</f>
        <v>12208872</v>
      </c>
    </row>
    <row r="130" spans="1:8" ht="13.8" x14ac:dyDescent="0.3">
      <c r="A130" s="306"/>
      <c r="B130" s="361"/>
      <c r="C130" s="347"/>
      <c r="D130" s="322"/>
      <c r="E130" s="322"/>
      <c r="F130" s="322"/>
      <c r="G130" s="322"/>
      <c r="H130" s="322"/>
    </row>
    <row r="131" spans="1:8" ht="39.6" x14ac:dyDescent="0.3">
      <c r="A131" s="308">
        <v>3</v>
      </c>
      <c r="B131" s="309" t="s">
        <v>161</v>
      </c>
      <c r="C131" s="310" t="s">
        <v>162</v>
      </c>
      <c r="D131" s="322"/>
      <c r="E131" s="322"/>
      <c r="F131" s="322"/>
      <c r="G131" s="322"/>
      <c r="H131" s="343"/>
    </row>
    <row r="132" spans="1:8" x14ac:dyDescent="0.25">
      <c r="A132" s="298"/>
      <c r="B132" s="311" t="s">
        <v>31</v>
      </c>
      <c r="C132" s="298"/>
      <c r="D132" s="301"/>
      <c r="E132" s="301"/>
      <c r="F132" s="301"/>
      <c r="G132" s="301"/>
      <c r="H132" s="301"/>
    </row>
    <row r="133" spans="1:8" x14ac:dyDescent="0.25">
      <c r="A133" s="298"/>
      <c r="B133" s="312" t="s">
        <v>171</v>
      </c>
      <c r="C133" s="313" t="s">
        <v>172</v>
      </c>
      <c r="D133" s="301">
        <v>6268710</v>
      </c>
      <c r="E133" s="301">
        <v>180000</v>
      </c>
      <c r="F133" s="301">
        <v>0</v>
      </c>
      <c r="G133" s="301"/>
      <c r="H133" s="301">
        <f>SUM(D133:F133)</f>
        <v>6448710</v>
      </c>
    </row>
    <row r="134" spans="1:8" x14ac:dyDescent="0.25">
      <c r="A134" s="298"/>
      <c r="B134" s="312"/>
      <c r="C134" s="313" t="s">
        <v>173</v>
      </c>
      <c r="D134" s="301">
        <v>1133857</v>
      </c>
      <c r="E134" s="301">
        <v>46704</v>
      </c>
      <c r="F134" s="301">
        <v>0</v>
      </c>
      <c r="G134" s="301"/>
      <c r="H134" s="301">
        <f>SUM(D134:F134)</f>
        <v>1180561</v>
      </c>
    </row>
    <row r="135" spans="1:8" x14ac:dyDescent="0.25">
      <c r="A135" s="298"/>
      <c r="B135" s="312"/>
      <c r="C135" s="313" t="s">
        <v>174</v>
      </c>
      <c r="D135" s="301">
        <v>658546</v>
      </c>
      <c r="E135" s="301">
        <v>929400</v>
      </c>
      <c r="F135" s="301">
        <v>1874000</v>
      </c>
      <c r="G135" s="301">
        <v>548650</v>
      </c>
      <c r="H135" s="301">
        <f>SUM(D135:G135)</f>
        <v>4010596</v>
      </c>
    </row>
    <row r="136" spans="1:8" x14ac:dyDescent="0.25">
      <c r="A136" s="298"/>
      <c r="B136" s="312"/>
      <c r="C136" s="313" t="s">
        <v>175</v>
      </c>
      <c r="D136" s="301">
        <v>41880</v>
      </c>
      <c r="E136" s="301">
        <v>0</v>
      </c>
      <c r="F136" s="301">
        <v>0</v>
      </c>
      <c r="G136" s="301"/>
      <c r="H136" s="301">
        <f>SUM(D136:F136)</f>
        <v>41880</v>
      </c>
    </row>
    <row r="137" spans="1:8" x14ac:dyDescent="0.25">
      <c r="A137" s="298"/>
      <c r="B137" s="312"/>
      <c r="C137" s="313" t="s">
        <v>177</v>
      </c>
      <c r="D137" s="301">
        <v>0</v>
      </c>
      <c r="E137" s="301">
        <v>0</v>
      </c>
      <c r="F137" s="301">
        <v>0</v>
      </c>
      <c r="G137" s="301"/>
      <c r="H137" s="301">
        <f>SUM(D137:F137)</f>
        <v>0</v>
      </c>
    </row>
    <row r="138" spans="1:8" s="14" customFormat="1" ht="13.8" x14ac:dyDescent="0.3">
      <c r="A138" s="318"/>
      <c r="B138" s="319" t="s">
        <v>26</v>
      </c>
      <c r="C138" s="320"/>
      <c r="D138" s="321">
        <f>SUM(D133:D137)</f>
        <v>8102993</v>
      </c>
      <c r="E138" s="321">
        <f>SUM(E133:E137)</f>
        <v>1156104</v>
      </c>
      <c r="F138" s="321">
        <f>SUM(F133:F137)</f>
        <v>1874000</v>
      </c>
      <c r="G138" s="321">
        <f>SUM(G133:G137)</f>
        <v>548650</v>
      </c>
      <c r="H138" s="321">
        <f>SUM(H133:H137)</f>
        <v>11681747</v>
      </c>
    </row>
    <row r="139" spans="1:8" ht="13.8" x14ac:dyDescent="0.3">
      <c r="A139" s="306"/>
      <c r="B139" s="361"/>
      <c r="C139" s="347"/>
      <c r="D139" s="322"/>
      <c r="E139" s="322"/>
      <c r="F139" s="322"/>
      <c r="G139" s="322"/>
      <c r="H139" s="322"/>
    </row>
    <row r="140" spans="1:8" ht="52.8" x14ac:dyDescent="0.3">
      <c r="A140" s="308">
        <v>4</v>
      </c>
      <c r="B140" s="309" t="s">
        <v>159</v>
      </c>
      <c r="C140" s="310" t="s">
        <v>160</v>
      </c>
      <c r="D140" s="322"/>
      <c r="E140" s="322"/>
      <c r="F140" s="322"/>
      <c r="G140" s="322"/>
      <c r="H140" s="343"/>
    </row>
    <row r="141" spans="1:8" x14ac:dyDescent="0.25">
      <c r="A141" s="298"/>
      <c r="B141" s="311" t="s">
        <v>31</v>
      </c>
      <c r="C141" s="298"/>
      <c r="D141" s="301"/>
      <c r="E141" s="301"/>
      <c r="F141" s="301"/>
      <c r="G141" s="301"/>
      <c r="H141" s="301"/>
    </row>
    <row r="142" spans="1:8" x14ac:dyDescent="0.25">
      <c r="A142" s="298"/>
      <c r="B142" s="312" t="s">
        <v>171</v>
      </c>
      <c r="C142" s="313" t="s">
        <v>172</v>
      </c>
      <c r="D142" s="301">
        <v>10836404</v>
      </c>
      <c r="E142" s="301">
        <v>592500</v>
      </c>
      <c r="F142" s="301"/>
      <c r="G142" s="301"/>
      <c r="H142" s="301">
        <f>SUM(D142:G142)</f>
        <v>11428904</v>
      </c>
    </row>
    <row r="143" spans="1:8" x14ac:dyDescent="0.25">
      <c r="A143" s="298"/>
      <c r="B143" s="312"/>
      <c r="C143" s="313" t="s">
        <v>173</v>
      </c>
      <c r="D143" s="301">
        <v>1982269</v>
      </c>
      <c r="E143" s="301">
        <v>91972</v>
      </c>
      <c r="F143" s="301"/>
      <c r="G143" s="301"/>
      <c r="H143" s="301">
        <f t="shared" ref="H143:H145" si="9">SUM(D143:G143)</f>
        <v>2074241</v>
      </c>
    </row>
    <row r="144" spans="1:8" x14ac:dyDescent="0.25">
      <c r="A144" s="298"/>
      <c r="B144" s="312"/>
      <c r="C144" s="313" t="s">
        <v>174</v>
      </c>
      <c r="D144" s="301">
        <v>5141260</v>
      </c>
      <c r="E144" s="301">
        <v>1464600</v>
      </c>
      <c r="F144" s="301">
        <v>2292071</v>
      </c>
      <c r="G144" s="301">
        <v>1056529</v>
      </c>
      <c r="H144" s="301">
        <f t="shared" si="9"/>
        <v>9954460</v>
      </c>
    </row>
    <row r="145" spans="1:8" x14ac:dyDescent="0.25">
      <c r="A145" s="298"/>
      <c r="B145" s="312"/>
      <c r="C145" s="313" t="s">
        <v>175</v>
      </c>
      <c r="D145" s="301">
        <v>0</v>
      </c>
      <c r="E145" s="301">
        <v>323785</v>
      </c>
      <c r="F145" s="301"/>
      <c r="G145" s="301"/>
      <c r="H145" s="301">
        <f t="shared" si="9"/>
        <v>323785</v>
      </c>
    </row>
    <row r="146" spans="1:8" ht="13.8" x14ac:dyDescent="0.3">
      <c r="A146" s="318"/>
      <c r="B146" s="319" t="s">
        <v>26</v>
      </c>
      <c r="C146" s="320"/>
      <c r="D146" s="321">
        <f>SUM(D142:D145)</f>
        <v>17959933</v>
      </c>
      <c r="E146" s="321">
        <f>SUM(E142:E145)</f>
        <v>2472857</v>
      </c>
      <c r="F146" s="321">
        <f>SUM(F142:F145)</f>
        <v>2292071</v>
      </c>
      <c r="G146" s="321">
        <f>SUM(G142:G145)</f>
        <v>1056529</v>
      </c>
      <c r="H146" s="321">
        <f>SUM(H142:H145)</f>
        <v>23781390</v>
      </c>
    </row>
    <row r="147" spans="1:8" s="127" customFormat="1" ht="13.8" x14ac:dyDescent="0.3">
      <c r="A147" s="298"/>
      <c r="B147" s="361"/>
      <c r="C147" s="306"/>
      <c r="D147" s="322"/>
      <c r="E147" s="322"/>
      <c r="F147" s="322"/>
      <c r="G147" s="322"/>
      <c r="H147" s="322"/>
    </row>
    <row r="148" spans="1:8" s="127" customFormat="1" ht="26.4" x14ac:dyDescent="0.3">
      <c r="A148" s="308">
        <v>5</v>
      </c>
      <c r="B148" s="309" t="s">
        <v>595</v>
      </c>
      <c r="C148" s="310" t="s">
        <v>596</v>
      </c>
      <c r="D148" s="322"/>
      <c r="E148" s="322"/>
      <c r="F148" s="322"/>
      <c r="G148" s="322"/>
      <c r="H148" s="343"/>
    </row>
    <row r="149" spans="1:8" s="127" customFormat="1" x14ac:dyDescent="0.25">
      <c r="A149" s="298"/>
      <c r="B149" s="311" t="s">
        <v>31</v>
      </c>
      <c r="C149" s="298"/>
      <c r="D149" s="301"/>
      <c r="E149" s="301"/>
      <c r="F149" s="301"/>
      <c r="G149" s="301"/>
      <c r="H149" s="301"/>
    </row>
    <row r="150" spans="1:8" s="127" customFormat="1" x14ac:dyDescent="0.25">
      <c r="A150" s="298"/>
      <c r="B150" s="312" t="s">
        <v>171</v>
      </c>
      <c r="C150" s="313" t="s">
        <v>593</v>
      </c>
      <c r="D150" s="301">
        <v>0</v>
      </c>
      <c r="E150" s="301">
        <v>0</v>
      </c>
      <c r="F150" s="301">
        <v>238735365</v>
      </c>
      <c r="G150" s="301"/>
      <c r="H150" s="301">
        <f>SUM(D150:G150)</f>
        <v>238735365</v>
      </c>
    </row>
    <row r="151" spans="1:8" s="127" customFormat="1" x14ac:dyDescent="0.25">
      <c r="A151" s="298"/>
      <c r="B151" s="312"/>
      <c r="C151" s="313" t="s">
        <v>174</v>
      </c>
      <c r="D151" s="301">
        <v>490000</v>
      </c>
      <c r="E151" s="301">
        <v>0</v>
      </c>
      <c r="F151" s="301">
        <v>3844837</v>
      </c>
      <c r="G151" s="301"/>
      <c r="H151" s="301">
        <f>SUM(D151:G151)</f>
        <v>4334837</v>
      </c>
    </row>
    <row r="152" spans="1:8" s="127" customFormat="1" x14ac:dyDescent="0.25">
      <c r="A152" s="298"/>
      <c r="B152" s="312"/>
      <c r="C152" s="313" t="s">
        <v>177</v>
      </c>
      <c r="F152" s="661">
        <v>9868106</v>
      </c>
      <c r="G152" s="301"/>
      <c r="H152" s="301">
        <f t="shared" ref="H152" si="10">SUM(D152:G152)</f>
        <v>9868106</v>
      </c>
    </row>
    <row r="153" spans="1:8" ht="13.8" x14ac:dyDescent="0.3">
      <c r="A153" s="314"/>
      <c r="B153" s="315" t="s">
        <v>26</v>
      </c>
      <c r="C153" s="316"/>
      <c r="D153" s="317">
        <f>SUM(D150:D150)</f>
        <v>0</v>
      </c>
      <c r="E153" s="317">
        <f>SUM(E150:E150)</f>
        <v>0</v>
      </c>
      <c r="F153" s="317">
        <f>SUM(F150:F152)</f>
        <v>252448308</v>
      </c>
      <c r="G153" s="317"/>
      <c r="H153" s="317">
        <f>SUM(H150:H152)</f>
        <v>252938308</v>
      </c>
    </row>
    <row r="154" spans="1:8" ht="13.8" x14ac:dyDescent="0.3">
      <c r="A154" s="298"/>
      <c r="B154" s="361"/>
      <c r="C154" s="306"/>
      <c r="D154" s="322"/>
      <c r="E154" s="322"/>
      <c r="F154" s="322"/>
      <c r="G154" s="322"/>
      <c r="H154" s="322"/>
    </row>
    <row r="155" spans="1:8" ht="26.4" x14ac:dyDescent="0.3">
      <c r="A155" s="308">
        <v>6</v>
      </c>
      <c r="B155" s="309" t="s">
        <v>163</v>
      </c>
      <c r="C155" s="310" t="s">
        <v>164</v>
      </c>
      <c r="D155" s="322"/>
      <c r="E155" s="322"/>
      <c r="F155" s="322"/>
      <c r="G155" s="322"/>
      <c r="H155" s="343"/>
    </row>
    <row r="156" spans="1:8" x14ac:dyDescent="0.25">
      <c r="A156" s="298"/>
      <c r="B156" s="311" t="s">
        <v>31</v>
      </c>
      <c r="C156" s="298"/>
      <c r="D156" s="301"/>
      <c r="E156" s="301"/>
      <c r="F156" s="301"/>
      <c r="G156" s="301"/>
      <c r="H156" s="301"/>
    </row>
    <row r="157" spans="1:8" x14ac:dyDescent="0.25">
      <c r="A157" s="298"/>
      <c r="B157" s="312" t="s">
        <v>171</v>
      </c>
      <c r="C157" s="313" t="s">
        <v>172</v>
      </c>
      <c r="D157" s="301">
        <v>32660675</v>
      </c>
      <c r="E157" s="301">
        <v>0</v>
      </c>
      <c r="F157" s="301">
        <v>0</v>
      </c>
      <c r="G157" s="301"/>
      <c r="H157" s="301">
        <f>SUM(D157:F157)</f>
        <v>32660675</v>
      </c>
    </row>
    <row r="158" spans="1:8" x14ac:dyDescent="0.25">
      <c r="A158" s="298"/>
      <c r="B158" s="312"/>
      <c r="C158" s="313" t="s">
        <v>173</v>
      </c>
      <c r="D158" s="301">
        <v>6226066</v>
      </c>
      <c r="E158" s="301">
        <v>0</v>
      </c>
      <c r="F158" s="301">
        <v>0</v>
      </c>
      <c r="G158" s="301"/>
      <c r="H158" s="301">
        <f>SUM(D158:F158)</f>
        <v>6226066</v>
      </c>
    </row>
    <row r="159" spans="1:8" x14ac:dyDescent="0.25">
      <c r="A159" s="298"/>
      <c r="B159" s="312"/>
      <c r="C159" s="313" t="s">
        <v>174</v>
      </c>
      <c r="D159" s="301">
        <v>115220812</v>
      </c>
      <c r="E159" s="301">
        <v>0</v>
      </c>
      <c r="F159" s="301">
        <v>0</v>
      </c>
      <c r="G159" s="301"/>
      <c r="H159" s="301">
        <f>SUM(D159:F159)</f>
        <v>115220812</v>
      </c>
    </row>
    <row r="160" spans="1:8" x14ac:dyDescent="0.25">
      <c r="A160" s="298"/>
      <c r="B160" s="312"/>
      <c r="C160" s="313" t="s">
        <v>175</v>
      </c>
      <c r="D160" s="301">
        <v>5959320</v>
      </c>
      <c r="E160" s="301">
        <v>0</v>
      </c>
      <c r="F160" s="301">
        <v>0</v>
      </c>
      <c r="G160" s="301"/>
      <c r="H160" s="301">
        <f>SUM(D160:F160)</f>
        <v>5959320</v>
      </c>
    </row>
    <row r="161" spans="1:8" s="14" customFormat="1" x14ac:dyDescent="0.25">
      <c r="A161" s="298"/>
      <c r="B161" s="312"/>
      <c r="C161" s="313" t="s">
        <v>991</v>
      </c>
      <c r="D161" s="301"/>
      <c r="E161" s="301">
        <v>1032584</v>
      </c>
      <c r="F161" s="301"/>
      <c r="G161" s="301"/>
      <c r="H161" s="301">
        <f>SUM(D161:F161)</f>
        <v>1032584</v>
      </c>
    </row>
    <row r="162" spans="1:8" ht="13.8" x14ac:dyDescent="0.3">
      <c r="A162" s="320"/>
      <c r="B162" s="319" t="s">
        <v>26</v>
      </c>
      <c r="C162" s="346"/>
      <c r="D162" s="321">
        <f>SUM(D157:D161)</f>
        <v>160066873</v>
      </c>
      <c r="E162" s="321">
        <f>SUM(E157:E161)</f>
        <v>1032584</v>
      </c>
      <c r="F162" s="321">
        <f>SUM(F157:F161)</f>
        <v>0</v>
      </c>
      <c r="G162" s="321"/>
      <c r="H162" s="321">
        <f>SUM(H157:H161)</f>
        <v>161099457</v>
      </c>
    </row>
    <row r="163" spans="1:8" ht="13.8" x14ac:dyDescent="0.3">
      <c r="A163" s="298"/>
      <c r="B163" s="361"/>
      <c r="C163" s="306"/>
      <c r="D163" s="322"/>
      <c r="E163" s="322"/>
      <c r="F163" s="322"/>
      <c r="G163" s="322"/>
      <c r="H163" s="322"/>
    </row>
    <row r="164" spans="1:8" ht="26.4" x14ac:dyDescent="0.3">
      <c r="A164" s="308">
        <v>7</v>
      </c>
      <c r="B164" s="309" t="s">
        <v>165</v>
      </c>
      <c r="C164" s="310" t="s">
        <v>166</v>
      </c>
      <c r="D164" s="322"/>
      <c r="E164" s="322"/>
      <c r="F164" s="322"/>
      <c r="G164" s="322"/>
      <c r="H164" s="343"/>
    </row>
    <row r="165" spans="1:8" x14ac:dyDescent="0.25">
      <c r="A165" s="298"/>
      <c r="B165" s="311" t="s">
        <v>31</v>
      </c>
      <c r="C165" s="298"/>
      <c r="D165" s="301"/>
      <c r="E165" s="301"/>
      <c r="F165" s="301"/>
      <c r="G165" s="301"/>
      <c r="H165" s="301"/>
    </row>
    <row r="166" spans="1:8" x14ac:dyDescent="0.25">
      <c r="A166" s="298"/>
      <c r="B166" s="312" t="s">
        <v>171</v>
      </c>
      <c r="C166" s="313" t="s">
        <v>172</v>
      </c>
      <c r="D166" s="301">
        <v>18091207</v>
      </c>
      <c r="E166" s="301">
        <v>0</v>
      </c>
      <c r="F166" s="301">
        <v>0</v>
      </c>
      <c r="G166" s="301"/>
      <c r="H166" s="301">
        <f>SUM(D166:F166)</f>
        <v>18091207</v>
      </c>
    </row>
    <row r="167" spans="1:8" x14ac:dyDescent="0.25">
      <c r="A167" s="298"/>
      <c r="B167" s="312"/>
      <c r="C167" s="313" t="s">
        <v>173</v>
      </c>
      <c r="D167" s="301">
        <v>3342439</v>
      </c>
      <c r="E167" s="301">
        <v>0</v>
      </c>
      <c r="F167" s="301">
        <v>0</v>
      </c>
      <c r="G167" s="301"/>
      <c r="H167" s="301">
        <f>SUM(D167:F167)</f>
        <v>3342439</v>
      </c>
    </row>
    <row r="168" spans="1:8" x14ac:dyDescent="0.25">
      <c r="A168" s="298"/>
      <c r="B168" s="312"/>
      <c r="C168" s="313" t="s">
        <v>174</v>
      </c>
      <c r="D168" s="301">
        <v>19666417</v>
      </c>
      <c r="E168" s="301">
        <v>0</v>
      </c>
      <c r="F168" s="301">
        <v>0</v>
      </c>
      <c r="G168" s="301"/>
      <c r="H168" s="301">
        <f>SUM(D168:F168)</f>
        <v>19666417</v>
      </c>
    </row>
    <row r="169" spans="1:8" x14ac:dyDescent="0.25">
      <c r="A169" s="298"/>
      <c r="B169" s="312"/>
      <c r="C169" s="313" t="s">
        <v>517</v>
      </c>
      <c r="D169" s="301">
        <v>18319738</v>
      </c>
      <c r="E169" s="301">
        <v>0</v>
      </c>
      <c r="F169" s="301">
        <v>0</v>
      </c>
      <c r="G169" s="301"/>
      <c r="H169" s="301">
        <f>SUM(D169:F169)</f>
        <v>18319738</v>
      </c>
    </row>
    <row r="170" spans="1:8" s="14" customFormat="1" x14ac:dyDescent="0.25">
      <c r="A170" s="298"/>
      <c r="B170" s="312"/>
      <c r="C170" s="313" t="s">
        <v>175</v>
      </c>
      <c r="D170" s="301">
        <v>76141299</v>
      </c>
      <c r="E170" s="301">
        <v>0</v>
      </c>
      <c r="F170" s="301">
        <v>0</v>
      </c>
      <c r="G170" s="301"/>
      <c r="H170" s="301">
        <f>SUM(D170:F170)</f>
        <v>76141299</v>
      </c>
    </row>
    <row r="171" spans="1:8" ht="13.8" x14ac:dyDescent="0.3">
      <c r="A171" s="320"/>
      <c r="B171" s="319" t="s">
        <v>26</v>
      </c>
      <c r="C171" s="346"/>
      <c r="D171" s="321">
        <v>135561100</v>
      </c>
      <c r="E171" s="321">
        <f>SUM(E166:E170)</f>
        <v>0</v>
      </c>
      <c r="F171" s="321">
        <f>SUM(F166:F170)</f>
        <v>0</v>
      </c>
      <c r="G171" s="321"/>
      <c r="H171" s="321">
        <f>SUM(H166:H170)</f>
        <v>135561100</v>
      </c>
    </row>
    <row r="172" spans="1:8" ht="13.8" x14ac:dyDescent="0.3">
      <c r="A172" s="298"/>
      <c r="B172" s="361"/>
      <c r="C172" s="306"/>
      <c r="D172" s="322"/>
      <c r="E172" s="322"/>
      <c r="F172" s="322"/>
      <c r="G172" s="322"/>
      <c r="H172" s="322"/>
    </row>
    <row r="173" spans="1:8" ht="13.8" x14ac:dyDescent="0.25">
      <c r="A173" s="308">
        <v>8</v>
      </c>
      <c r="B173" s="309" t="s">
        <v>201</v>
      </c>
      <c r="C173" s="310" t="s">
        <v>202</v>
      </c>
      <c r="D173" s="306"/>
      <c r="E173" s="306"/>
      <c r="F173" s="306"/>
      <c r="G173" s="306"/>
      <c r="H173" s="307"/>
    </row>
    <row r="174" spans="1:8" ht="13.8" x14ac:dyDescent="0.25">
      <c r="A174" s="305"/>
      <c r="B174" s="311" t="s">
        <v>31</v>
      </c>
      <c r="C174" s="306"/>
      <c r="D174" s="306"/>
      <c r="E174" s="306"/>
      <c r="F174" s="306"/>
      <c r="G174" s="306"/>
      <c r="H174" s="307"/>
    </row>
    <row r="175" spans="1:8" x14ac:dyDescent="0.25">
      <c r="A175" s="298"/>
      <c r="B175" s="312" t="s">
        <v>206</v>
      </c>
      <c r="C175" s="313" t="s">
        <v>174</v>
      </c>
      <c r="D175" s="301">
        <v>796750</v>
      </c>
      <c r="E175" s="301">
        <v>0</v>
      </c>
      <c r="F175" s="301">
        <v>2242150</v>
      </c>
      <c r="G175" s="301"/>
      <c r="H175" s="301">
        <f>SUM(D175:F175)</f>
        <v>3038900</v>
      </c>
    </row>
    <row r="176" spans="1:8" ht="26.4" x14ac:dyDescent="0.25">
      <c r="A176" s="308"/>
      <c r="B176" s="309"/>
      <c r="C176" s="331" t="s">
        <v>593</v>
      </c>
      <c r="D176" s="301">
        <v>36613844</v>
      </c>
      <c r="E176" s="301">
        <v>1529080</v>
      </c>
      <c r="F176" s="301">
        <v>103386966</v>
      </c>
      <c r="G176" s="301"/>
      <c r="H176" s="301">
        <f>SUM(D176:F176)</f>
        <v>141529890</v>
      </c>
    </row>
    <row r="177" spans="1:8" x14ac:dyDescent="0.25">
      <c r="A177" s="298"/>
      <c r="B177" s="336"/>
      <c r="C177" s="313" t="s">
        <v>992</v>
      </c>
      <c r="D177" s="301">
        <v>0</v>
      </c>
      <c r="E177" s="301">
        <v>5231810</v>
      </c>
      <c r="F177" s="301">
        <v>0</v>
      </c>
      <c r="G177" s="301"/>
      <c r="H177" s="301">
        <f>SUM(D177:F177)</f>
        <v>5231810</v>
      </c>
    </row>
    <row r="178" spans="1:8" ht="13.8" x14ac:dyDescent="0.3">
      <c r="A178" s="326"/>
      <c r="B178" s="327" t="s">
        <v>26</v>
      </c>
      <c r="C178" s="346"/>
      <c r="D178" s="321">
        <f>SUM(D175:D177)</f>
        <v>37410594</v>
      </c>
      <c r="E178" s="321">
        <f>SUM(E175:E177)</f>
        <v>6760890</v>
      </c>
      <c r="F178" s="321">
        <f>SUM(F175:F177)</f>
        <v>105629116</v>
      </c>
      <c r="G178" s="321"/>
      <c r="H178" s="321">
        <f>SUM(H175:H177)</f>
        <v>149800600</v>
      </c>
    </row>
    <row r="179" spans="1:8" ht="13.8" x14ac:dyDescent="0.3">
      <c r="B179" s="328"/>
      <c r="C179" s="347"/>
      <c r="D179" s="322"/>
      <c r="E179" s="322"/>
      <c r="F179" s="322"/>
      <c r="G179" s="322"/>
      <c r="H179" s="322"/>
    </row>
    <row r="180" spans="1:8" ht="26.4" x14ac:dyDescent="0.3">
      <c r="A180" s="308">
        <v>9</v>
      </c>
      <c r="B180" s="309" t="s">
        <v>167</v>
      </c>
      <c r="C180" s="310" t="s">
        <v>168</v>
      </c>
      <c r="D180" s="322"/>
      <c r="E180" s="322"/>
      <c r="F180" s="322"/>
      <c r="G180" s="322"/>
      <c r="H180" s="343"/>
    </row>
    <row r="181" spans="1:8" x14ac:dyDescent="0.25">
      <c r="A181" s="298"/>
      <c r="B181" s="311" t="s">
        <v>31</v>
      </c>
      <c r="C181" s="298"/>
      <c r="D181" s="301"/>
      <c r="E181" s="301"/>
      <c r="F181" s="301"/>
      <c r="G181" s="301"/>
      <c r="H181" s="301"/>
    </row>
    <row r="182" spans="1:8" x14ac:dyDescent="0.25">
      <c r="A182" s="298"/>
      <c r="B182" s="312" t="s">
        <v>171</v>
      </c>
      <c r="C182" s="313" t="s">
        <v>174</v>
      </c>
      <c r="D182" s="301">
        <v>254840</v>
      </c>
      <c r="E182" s="301">
        <v>1600000</v>
      </c>
      <c r="F182" s="301">
        <v>2493600</v>
      </c>
      <c r="G182" s="301"/>
      <c r="H182" s="301">
        <f>SUM(D182:F182)</f>
        <v>4348440</v>
      </c>
    </row>
    <row r="183" spans="1:8" ht="26.4" x14ac:dyDescent="0.25">
      <c r="A183" s="298"/>
      <c r="B183" s="312"/>
      <c r="C183" s="331" t="s">
        <v>593</v>
      </c>
      <c r="D183" s="301">
        <v>25127723</v>
      </c>
      <c r="E183" s="301">
        <f>67669517-4229497</f>
        <v>63440020</v>
      </c>
      <c r="F183" s="301">
        <f>396474501+4229497</f>
        <v>400703998</v>
      </c>
      <c r="G183" s="301"/>
      <c r="H183" s="301">
        <f>SUM(D183:F183)</f>
        <v>489271741</v>
      </c>
    </row>
    <row r="184" spans="1:8" s="14" customFormat="1" x14ac:dyDescent="0.25">
      <c r="A184" s="298"/>
      <c r="B184" s="10"/>
      <c r="C184" s="313" t="s">
        <v>992</v>
      </c>
      <c r="D184" s="301">
        <v>0</v>
      </c>
      <c r="E184" s="301">
        <v>962134</v>
      </c>
      <c r="F184" s="301"/>
      <c r="G184" s="301"/>
      <c r="H184" s="301">
        <f>SUM(D184:F184)</f>
        <v>962134</v>
      </c>
    </row>
    <row r="185" spans="1:8" ht="13.8" x14ac:dyDescent="0.3">
      <c r="A185" s="320"/>
      <c r="B185" s="319" t="s">
        <v>26</v>
      </c>
      <c r="C185" s="346"/>
      <c r="D185" s="321">
        <f>SUM(D182:D184)</f>
        <v>25382563</v>
      </c>
      <c r="E185" s="321">
        <f>SUM(E182:E184)</f>
        <v>66002154</v>
      </c>
      <c r="F185" s="321">
        <f>SUM(F182:F184)</f>
        <v>403197598</v>
      </c>
      <c r="G185" s="321"/>
      <c r="H185" s="321">
        <f>SUM(H182:H184)</f>
        <v>494582315</v>
      </c>
    </row>
    <row r="186" spans="1:8" ht="13.8" x14ac:dyDescent="0.3">
      <c r="B186" s="328"/>
      <c r="C186" s="306"/>
      <c r="D186" s="306"/>
      <c r="E186" s="306"/>
      <c r="F186" s="306"/>
      <c r="G186" s="306"/>
      <c r="H186" s="307"/>
    </row>
    <row r="187" spans="1:8" ht="39.6" x14ac:dyDescent="0.25">
      <c r="A187" s="308">
        <v>10</v>
      </c>
      <c r="B187" s="332" t="s">
        <v>204</v>
      </c>
      <c r="C187" s="310" t="s">
        <v>205</v>
      </c>
      <c r="E187" s="306"/>
      <c r="F187" s="306"/>
      <c r="G187" s="306"/>
      <c r="H187" s="307"/>
    </row>
    <row r="188" spans="1:8" ht="13.8" x14ac:dyDescent="0.25">
      <c r="A188" s="333"/>
      <c r="B188" s="335" t="s">
        <v>31</v>
      </c>
      <c r="C188" s="310"/>
      <c r="E188" s="306"/>
      <c r="F188" s="306"/>
      <c r="G188" s="306"/>
      <c r="H188" s="307"/>
    </row>
    <row r="189" spans="1:8" x14ac:dyDescent="0.25">
      <c r="B189" s="312" t="s">
        <v>206</v>
      </c>
      <c r="C189" s="313" t="s">
        <v>174</v>
      </c>
      <c r="D189" s="301">
        <v>1127046</v>
      </c>
      <c r="E189" s="301">
        <v>887350</v>
      </c>
      <c r="F189" s="301">
        <v>4377120</v>
      </c>
      <c r="G189" s="301"/>
      <c r="H189" s="301">
        <f>SUM(D189:F189)</f>
        <v>6391516</v>
      </c>
    </row>
    <row r="190" spans="1:8" ht="26.4" x14ac:dyDescent="0.25">
      <c r="B190" s="309"/>
      <c r="C190" s="331" t="s">
        <v>593</v>
      </c>
      <c r="D190" s="301">
        <v>17487024</v>
      </c>
      <c r="E190" s="301">
        <v>54710452</v>
      </c>
      <c r="F190" s="301">
        <v>196896201</v>
      </c>
      <c r="G190" s="301"/>
      <c r="H190" s="301">
        <f>SUM(D190:F190)</f>
        <v>269093677</v>
      </c>
    </row>
    <row r="191" spans="1:8" x14ac:dyDescent="0.25">
      <c r="B191" s="309"/>
      <c r="C191" s="331" t="s">
        <v>992</v>
      </c>
      <c r="D191" s="301"/>
      <c r="E191" s="301">
        <v>15737360</v>
      </c>
      <c r="F191" s="301"/>
      <c r="G191" s="301"/>
      <c r="H191" s="301">
        <f>SUM(D191:F191)</f>
        <v>15737360</v>
      </c>
    </row>
    <row r="192" spans="1:8" ht="12.75" customHeight="1" x14ac:dyDescent="0.25">
      <c r="B192" s="336"/>
      <c r="C192" s="313" t="s">
        <v>177</v>
      </c>
      <c r="D192" s="301">
        <v>0</v>
      </c>
      <c r="F192" s="301"/>
      <c r="G192" s="301"/>
      <c r="H192" s="301">
        <f>SUM(D192:F192)</f>
        <v>0</v>
      </c>
    </row>
    <row r="193" spans="1:8" s="14" customFormat="1" ht="13.8" x14ac:dyDescent="0.3">
      <c r="A193" s="10"/>
      <c r="B193" s="327" t="s">
        <v>26</v>
      </c>
      <c r="C193" s="346"/>
      <c r="D193" s="321">
        <f>SUM(D189:D192)</f>
        <v>18614070</v>
      </c>
      <c r="E193" s="321">
        <f>SUM(E189:E192)</f>
        <v>71335162</v>
      </c>
      <c r="F193" s="321">
        <f>SUM(F189:F192)</f>
        <v>201273321</v>
      </c>
      <c r="G193" s="321"/>
      <c r="H193" s="321">
        <f>SUM(H189:H192)</f>
        <v>291222553</v>
      </c>
    </row>
    <row r="194" spans="1:8" s="14" customFormat="1" ht="13.8" x14ac:dyDescent="0.3">
      <c r="A194" s="306"/>
      <c r="B194" s="361"/>
      <c r="C194" s="347"/>
      <c r="D194" s="322"/>
      <c r="E194" s="322"/>
      <c r="F194" s="322"/>
      <c r="G194" s="322"/>
      <c r="H194" s="322"/>
    </row>
    <row r="195" spans="1:8" s="14" customFormat="1" ht="26.4" x14ac:dyDescent="0.25">
      <c r="A195" s="308">
        <v>11</v>
      </c>
      <c r="B195" s="309" t="s">
        <v>520</v>
      </c>
      <c r="C195" s="310" t="s">
        <v>521</v>
      </c>
      <c r="D195" s="10"/>
      <c r="E195" s="306"/>
      <c r="F195" s="306"/>
      <c r="G195" s="306"/>
      <c r="H195" s="307"/>
    </row>
    <row r="196" spans="1:8" s="14" customFormat="1" ht="13.8" x14ac:dyDescent="0.25">
      <c r="A196" s="333"/>
      <c r="B196" s="335" t="s">
        <v>31</v>
      </c>
      <c r="C196" s="310"/>
      <c r="D196" s="10"/>
      <c r="E196" s="306"/>
      <c r="F196" s="306"/>
      <c r="G196" s="306"/>
      <c r="H196" s="307"/>
    </row>
    <row r="197" spans="1:8" s="14" customFormat="1" x14ac:dyDescent="0.25">
      <c r="A197" s="333"/>
      <c r="B197" s="312" t="s">
        <v>206</v>
      </c>
      <c r="C197" s="313" t="s">
        <v>176</v>
      </c>
      <c r="D197" s="301">
        <v>0</v>
      </c>
      <c r="E197" s="301">
        <v>92866826</v>
      </c>
      <c r="F197" s="301">
        <v>0</v>
      </c>
      <c r="G197" s="301"/>
      <c r="H197" s="301">
        <f>SUM(D197:F197)</f>
        <v>92866826</v>
      </c>
    </row>
    <row r="198" spans="1:8" s="14" customFormat="1" ht="13.8" x14ac:dyDescent="0.3">
      <c r="A198" s="10"/>
      <c r="B198" s="361"/>
      <c r="C198" s="313" t="s">
        <v>174</v>
      </c>
      <c r="D198" s="301">
        <v>0</v>
      </c>
      <c r="E198" s="301">
        <v>1660508</v>
      </c>
      <c r="F198" s="301">
        <v>0</v>
      </c>
      <c r="G198" s="301"/>
      <c r="H198" s="301">
        <f>SUM(D198:F198)</f>
        <v>1660508</v>
      </c>
    </row>
    <row r="199" spans="1:8" s="14" customFormat="1" ht="13.8" x14ac:dyDescent="0.3">
      <c r="A199" s="10"/>
      <c r="B199" s="361"/>
      <c r="C199" s="313" t="s">
        <v>594</v>
      </c>
      <c r="D199" s="301">
        <v>0</v>
      </c>
      <c r="E199" s="301">
        <v>23216707</v>
      </c>
      <c r="F199" s="301">
        <v>0</v>
      </c>
      <c r="G199" s="301"/>
      <c r="H199" s="301">
        <f>SUM(D199:F199)</f>
        <v>23216707</v>
      </c>
    </row>
    <row r="200" spans="1:8" s="14" customFormat="1" ht="13.8" x14ac:dyDescent="0.3">
      <c r="A200" s="10"/>
      <c r="B200" s="327" t="s">
        <v>26</v>
      </c>
      <c r="C200" s="346"/>
      <c r="D200" s="321">
        <f>SUM(D197:D199)</f>
        <v>0</v>
      </c>
      <c r="E200" s="321">
        <f t="shared" ref="E200:H200" si="11">SUM(E197:E199)</f>
        <v>117744041</v>
      </c>
      <c r="F200" s="321">
        <f t="shared" si="11"/>
        <v>0</v>
      </c>
      <c r="G200" s="321"/>
      <c r="H200" s="321">
        <f t="shared" si="11"/>
        <v>117744041</v>
      </c>
    </row>
    <row r="201" spans="1:8" s="14" customFormat="1" ht="13.8" x14ac:dyDescent="0.3">
      <c r="A201" s="306"/>
      <c r="B201" s="361"/>
      <c r="C201" s="347"/>
      <c r="D201" s="322"/>
      <c r="E201" s="322"/>
      <c r="F201" s="322"/>
      <c r="G201" s="322"/>
      <c r="H201" s="322"/>
    </row>
    <row r="202" spans="1:8" s="14" customFormat="1" ht="13.8" x14ac:dyDescent="0.25">
      <c r="A202" s="298">
        <v>12</v>
      </c>
      <c r="B202" s="309" t="s">
        <v>518</v>
      </c>
      <c r="C202" s="310" t="s">
        <v>519</v>
      </c>
      <c r="D202" s="10"/>
      <c r="E202" s="306"/>
      <c r="F202" s="306"/>
      <c r="G202" s="306"/>
      <c r="H202" s="307"/>
    </row>
    <row r="203" spans="1:8" s="14" customFormat="1" ht="13.8" x14ac:dyDescent="0.25">
      <c r="A203" s="298"/>
      <c r="B203" s="335" t="s">
        <v>31</v>
      </c>
      <c r="C203" s="310"/>
      <c r="D203" s="10"/>
      <c r="E203" s="306"/>
      <c r="F203" s="306"/>
      <c r="G203" s="306"/>
      <c r="H203" s="307"/>
    </row>
    <row r="204" spans="1:8" s="14" customFormat="1" x14ac:dyDescent="0.25">
      <c r="A204" s="298"/>
      <c r="B204" s="312" t="s">
        <v>206</v>
      </c>
      <c r="C204" s="313" t="s">
        <v>172</v>
      </c>
      <c r="D204" s="301">
        <v>0</v>
      </c>
      <c r="E204" s="301">
        <v>0</v>
      </c>
      <c r="F204" s="301">
        <v>2845167</v>
      </c>
      <c r="G204" s="301"/>
      <c r="H204" s="301">
        <f t="shared" ref="H204:H208" si="12">SUM(D204:F204)</f>
        <v>2845167</v>
      </c>
    </row>
    <row r="205" spans="1:8" s="14" customFormat="1" ht="13.8" x14ac:dyDescent="0.3">
      <c r="A205" s="298"/>
      <c r="B205" s="361"/>
      <c r="C205" s="313" t="s">
        <v>173</v>
      </c>
      <c r="D205" s="301">
        <v>0</v>
      </c>
      <c r="E205" s="301">
        <v>0</v>
      </c>
      <c r="F205" s="301">
        <v>554814</v>
      </c>
      <c r="G205" s="301"/>
      <c r="H205" s="301">
        <f t="shared" si="12"/>
        <v>554814</v>
      </c>
    </row>
    <row r="206" spans="1:8" s="14" customFormat="1" ht="13.8" x14ac:dyDescent="0.3">
      <c r="A206" s="298"/>
      <c r="B206" s="361"/>
      <c r="C206" s="313" t="s">
        <v>174</v>
      </c>
      <c r="D206" s="301">
        <v>0</v>
      </c>
      <c r="E206" s="301">
        <v>0</v>
      </c>
      <c r="F206" s="301">
        <v>2537607</v>
      </c>
      <c r="G206" s="301"/>
      <c r="H206" s="301">
        <f t="shared" si="12"/>
        <v>2537607</v>
      </c>
    </row>
    <row r="207" spans="1:8" s="14" customFormat="1" ht="26.4" x14ac:dyDescent="0.3">
      <c r="A207" s="298"/>
      <c r="B207" s="361"/>
      <c r="C207" s="331" t="s">
        <v>593</v>
      </c>
      <c r="D207" s="301">
        <v>1076498</v>
      </c>
      <c r="E207" s="301">
        <v>0</v>
      </c>
      <c r="F207" s="301">
        <v>125062393</v>
      </c>
      <c r="G207" s="301"/>
      <c r="H207" s="301">
        <f t="shared" si="12"/>
        <v>126138891</v>
      </c>
    </row>
    <row r="208" spans="1:8" s="14" customFormat="1" x14ac:dyDescent="0.25">
      <c r="A208" s="298"/>
      <c r="B208" s="336"/>
      <c r="C208" s="313" t="s">
        <v>177</v>
      </c>
      <c r="D208" s="301">
        <v>0</v>
      </c>
      <c r="E208" s="301"/>
      <c r="F208" s="301">
        <v>5000000</v>
      </c>
      <c r="G208" s="301"/>
      <c r="H208" s="301">
        <f t="shared" si="12"/>
        <v>5000000</v>
      </c>
    </row>
    <row r="209" spans="1:8" s="14" customFormat="1" ht="13.8" x14ac:dyDescent="0.3">
      <c r="A209" s="298"/>
      <c r="B209" s="327" t="s">
        <v>26</v>
      </c>
      <c r="C209" s="346"/>
      <c r="D209" s="321">
        <f>SUM(D204:D208)</f>
        <v>1076498</v>
      </c>
      <c r="E209" s="321">
        <f>SUM(E204:E208)</f>
        <v>0</v>
      </c>
      <c r="F209" s="321">
        <f>SUM(F204:F208)</f>
        <v>135999981</v>
      </c>
      <c r="G209" s="321"/>
      <c r="H209" s="321">
        <f>SUM(H204:H208)</f>
        <v>137076479</v>
      </c>
    </row>
    <row r="210" spans="1:8" s="14" customFormat="1" ht="13.8" x14ac:dyDescent="0.3">
      <c r="A210" s="298"/>
      <c r="B210" s="361"/>
      <c r="C210" s="347"/>
      <c r="D210" s="322"/>
      <c r="E210" s="322"/>
      <c r="F210" s="322"/>
      <c r="G210" s="322"/>
      <c r="H210" s="322"/>
    </row>
    <row r="211" spans="1:8" s="14" customFormat="1" ht="66" x14ac:dyDescent="0.25">
      <c r="A211" s="298">
        <v>13</v>
      </c>
      <c r="B211" s="309" t="s">
        <v>522</v>
      </c>
      <c r="C211" s="310" t="s">
        <v>523</v>
      </c>
      <c r="D211" s="10"/>
      <c r="E211" s="306"/>
      <c r="F211" s="306"/>
      <c r="G211" s="306"/>
      <c r="H211" s="307"/>
    </row>
    <row r="212" spans="1:8" s="14" customFormat="1" ht="13.8" x14ac:dyDescent="0.25">
      <c r="A212" s="306"/>
      <c r="B212" s="335" t="s">
        <v>31</v>
      </c>
      <c r="C212" s="310"/>
      <c r="D212" s="10"/>
      <c r="E212" s="306"/>
      <c r="F212" s="306"/>
      <c r="G212" s="306"/>
      <c r="H212" s="307"/>
    </row>
    <row r="213" spans="1:8" s="14" customFormat="1" ht="13.8" x14ac:dyDescent="0.25">
      <c r="A213" s="306"/>
      <c r="B213" s="312" t="s">
        <v>206</v>
      </c>
      <c r="C213" s="313"/>
      <c r="D213" s="301"/>
      <c r="E213" s="301"/>
      <c r="F213" s="301"/>
      <c r="G213" s="301"/>
      <c r="H213" s="301"/>
    </row>
    <row r="214" spans="1:8" s="14" customFormat="1" ht="13.8" x14ac:dyDescent="0.3">
      <c r="A214" s="306"/>
      <c r="B214" s="361"/>
      <c r="C214" s="313" t="s">
        <v>174</v>
      </c>
      <c r="D214" s="301">
        <v>0</v>
      </c>
      <c r="E214" s="301">
        <v>442167</v>
      </c>
      <c r="F214" s="301">
        <v>4406693</v>
      </c>
      <c r="G214" s="301"/>
      <c r="H214" s="301">
        <f>SUM(D214:F214)</f>
        <v>4848860</v>
      </c>
    </row>
    <row r="215" spans="1:8" s="14" customFormat="1" ht="13.8" x14ac:dyDescent="0.3">
      <c r="A215" s="306"/>
      <c r="B215" s="327" t="s">
        <v>26</v>
      </c>
      <c r="C215" s="346"/>
      <c r="D215" s="321">
        <f>SUM(D213:D214)</f>
        <v>0</v>
      </c>
      <c r="E215" s="321">
        <f>SUM(E213:E214)</f>
        <v>442167</v>
      </c>
      <c r="F215" s="321">
        <f>SUM(F213:F214)</f>
        <v>4406693</v>
      </c>
      <c r="G215" s="321"/>
      <c r="H215" s="321">
        <f>SUM(H213:H214)</f>
        <v>4848860</v>
      </c>
    </row>
    <row r="216" spans="1:8" s="14" customFormat="1" ht="13.8" x14ac:dyDescent="0.3">
      <c r="A216" s="306"/>
      <c r="B216" s="361"/>
      <c r="C216" s="347"/>
      <c r="D216" s="322"/>
      <c r="E216" s="322"/>
      <c r="F216" s="322"/>
      <c r="G216" s="322"/>
      <c r="H216" s="322"/>
    </row>
    <row r="217" spans="1:8" s="14" customFormat="1" ht="26.4" x14ac:dyDescent="0.3">
      <c r="A217" s="308">
        <v>14</v>
      </c>
      <c r="B217" s="309" t="s">
        <v>714</v>
      </c>
      <c r="C217" s="310" t="s">
        <v>715</v>
      </c>
      <c r="D217" s="322"/>
      <c r="E217" s="322"/>
      <c r="F217" s="322"/>
      <c r="G217" s="322"/>
      <c r="H217" s="343"/>
    </row>
    <row r="218" spans="1:8" s="14" customFormat="1" x14ac:dyDescent="0.25">
      <c r="A218" s="298"/>
      <c r="B218" s="311" t="s">
        <v>31</v>
      </c>
      <c r="C218" s="298"/>
      <c r="D218" s="301"/>
      <c r="E218" s="301"/>
      <c r="F218" s="301"/>
      <c r="G218" s="301"/>
      <c r="H218" s="301"/>
    </row>
    <row r="219" spans="1:8" s="14" customFormat="1" x14ac:dyDescent="0.25">
      <c r="A219" s="298"/>
      <c r="B219" s="312" t="s">
        <v>171</v>
      </c>
      <c r="C219" s="313" t="s">
        <v>174</v>
      </c>
      <c r="D219" s="301">
        <v>0</v>
      </c>
      <c r="E219" s="301"/>
      <c r="F219" s="301">
        <v>5424688</v>
      </c>
      <c r="G219" s="301"/>
      <c r="H219" s="301">
        <f>SUM(D219:F219)</f>
        <v>5424688</v>
      </c>
    </row>
    <row r="220" spans="1:8" s="14" customFormat="1" ht="26.4" x14ac:dyDescent="0.25">
      <c r="A220" s="298"/>
      <c r="B220" s="312"/>
      <c r="C220" s="348" t="s">
        <v>593</v>
      </c>
      <c r="D220" s="301">
        <v>0</v>
      </c>
      <c r="E220" s="301"/>
      <c r="F220" s="301">
        <v>113030000</v>
      </c>
      <c r="G220" s="301"/>
      <c r="H220" s="301">
        <f>SUM(D220:F220)</f>
        <v>113030000</v>
      </c>
    </row>
    <row r="221" spans="1:8" s="14" customFormat="1" ht="13.8" x14ac:dyDescent="0.3">
      <c r="A221" s="314"/>
      <c r="B221" s="315" t="s">
        <v>26</v>
      </c>
      <c r="C221" s="316"/>
      <c r="D221" s="317">
        <f>SUM(D219:D220)</f>
        <v>0</v>
      </c>
      <c r="E221" s="317">
        <f>SUM(E219:E220)</f>
        <v>0</v>
      </c>
      <c r="F221" s="317">
        <f>SUM(F219:F220)</f>
        <v>118454688</v>
      </c>
      <c r="G221" s="317"/>
      <c r="H221" s="317">
        <f>SUM(H219:H220)</f>
        <v>118454688</v>
      </c>
    </row>
    <row r="222" spans="1:8" s="14" customFormat="1" ht="13.8" x14ac:dyDescent="0.3">
      <c r="A222" s="298"/>
      <c r="B222" s="361"/>
      <c r="C222" s="306"/>
      <c r="D222" s="322"/>
      <c r="E222" s="322"/>
      <c r="F222" s="322"/>
      <c r="G222" s="322"/>
      <c r="H222" s="322"/>
    </row>
    <row r="223" spans="1:8" s="14" customFormat="1" ht="26.4" x14ac:dyDescent="0.3">
      <c r="A223" s="308">
        <v>15</v>
      </c>
      <c r="B223" s="309" t="s">
        <v>984</v>
      </c>
      <c r="C223" s="310" t="s">
        <v>985</v>
      </c>
      <c r="D223" s="322"/>
      <c r="E223" s="322"/>
      <c r="F223" s="322"/>
      <c r="G223" s="322"/>
      <c r="H223" s="343"/>
    </row>
    <row r="224" spans="1:8" s="14" customFormat="1" x14ac:dyDescent="0.25">
      <c r="A224" s="298"/>
      <c r="B224" s="311" t="s">
        <v>31</v>
      </c>
      <c r="C224" s="10"/>
      <c r="D224" s="10"/>
      <c r="E224" s="10"/>
      <c r="F224" s="10"/>
      <c r="G224" s="10"/>
      <c r="H224" s="10"/>
    </row>
    <row r="225" spans="1:8" s="14" customFormat="1" x14ac:dyDescent="0.25">
      <c r="A225" s="298"/>
      <c r="B225" s="312" t="s">
        <v>171</v>
      </c>
      <c r="C225" s="298" t="s">
        <v>174</v>
      </c>
      <c r="D225" s="301">
        <v>0</v>
      </c>
      <c r="E225" s="301">
        <v>0</v>
      </c>
      <c r="F225" s="301">
        <v>22000000</v>
      </c>
      <c r="G225" s="301">
        <v>0</v>
      </c>
      <c r="H225" s="301">
        <f>SUM(D225:G225)</f>
        <v>22000000</v>
      </c>
    </row>
    <row r="226" spans="1:8" s="14" customFormat="1" ht="26.4" x14ac:dyDescent="0.25">
      <c r="A226" s="298"/>
      <c r="B226" s="312"/>
      <c r="C226" s="331" t="s">
        <v>593</v>
      </c>
      <c r="D226" s="301">
        <v>0</v>
      </c>
      <c r="E226" s="301"/>
      <c r="F226" s="301">
        <v>153000000</v>
      </c>
      <c r="G226" s="301">
        <v>203567754</v>
      </c>
      <c r="H226" s="301">
        <f>SUM(D226:G226)</f>
        <v>356567754</v>
      </c>
    </row>
    <row r="227" spans="1:8" s="14" customFormat="1" ht="13.8" x14ac:dyDescent="0.3">
      <c r="A227" s="314"/>
      <c r="B227" s="315" t="s">
        <v>26</v>
      </c>
      <c r="C227" s="316"/>
      <c r="D227" s="317">
        <f>SUM(D226:D226)</f>
        <v>0</v>
      </c>
      <c r="E227" s="317">
        <f>SUM(E225:E226)</f>
        <v>0</v>
      </c>
      <c r="F227" s="317">
        <f t="shared" ref="F227:H227" si="13">SUM(F225:F226)</f>
        <v>175000000</v>
      </c>
      <c r="G227" s="317">
        <f t="shared" si="13"/>
        <v>203567754</v>
      </c>
      <c r="H227" s="317">
        <f t="shared" si="13"/>
        <v>378567754</v>
      </c>
    </row>
    <row r="228" spans="1:8" s="14" customFormat="1" ht="13.8" x14ac:dyDescent="0.3">
      <c r="A228" s="298"/>
      <c r="B228" s="361"/>
      <c r="C228" s="306"/>
      <c r="D228" s="322"/>
      <c r="E228" s="322"/>
      <c r="F228" s="322"/>
      <c r="G228" s="322"/>
      <c r="H228" s="322"/>
    </row>
    <row r="229" spans="1:8" s="14" customFormat="1" ht="39.6" x14ac:dyDescent="0.3">
      <c r="A229" s="308">
        <v>16</v>
      </c>
      <c r="B229" s="309" t="s">
        <v>986</v>
      </c>
      <c r="C229" s="310" t="s">
        <v>987</v>
      </c>
      <c r="D229" s="322"/>
      <c r="E229" s="322"/>
      <c r="F229" s="322"/>
      <c r="G229" s="322"/>
      <c r="H229" s="343"/>
    </row>
    <row r="230" spans="1:8" s="14" customFormat="1" x14ac:dyDescent="0.25">
      <c r="A230" s="298"/>
      <c r="B230" s="311" t="s">
        <v>31</v>
      </c>
      <c r="C230" s="10"/>
      <c r="D230" s="10"/>
      <c r="E230" s="10"/>
      <c r="F230" s="10"/>
      <c r="G230" s="10"/>
      <c r="H230" s="10"/>
    </row>
    <row r="231" spans="1:8" s="14" customFormat="1" x14ac:dyDescent="0.25">
      <c r="A231" s="298"/>
      <c r="B231" s="312" t="s">
        <v>171</v>
      </c>
      <c r="C231" s="298" t="s">
        <v>174</v>
      </c>
      <c r="D231" s="301">
        <v>0</v>
      </c>
      <c r="E231" s="301">
        <v>0</v>
      </c>
      <c r="F231" s="301">
        <v>21000000</v>
      </c>
      <c r="G231" s="301">
        <v>0</v>
      </c>
      <c r="H231" s="301">
        <f>SUM(D231:G231)</f>
        <v>21000000</v>
      </c>
    </row>
    <row r="232" spans="1:8" s="14" customFormat="1" ht="26.4" x14ac:dyDescent="0.25">
      <c r="A232" s="298"/>
      <c r="B232" s="312"/>
      <c r="C232" s="331" t="s">
        <v>593</v>
      </c>
      <c r="D232" s="301">
        <v>0</v>
      </c>
      <c r="E232" s="301"/>
      <c r="F232" s="301">
        <v>154000000</v>
      </c>
      <c r="G232" s="301">
        <v>192160008</v>
      </c>
      <c r="H232" s="301">
        <f>SUM(D232:G232)</f>
        <v>346160008</v>
      </c>
    </row>
    <row r="233" spans="1:8" s="14" customFormat="1" ht="13.8" x14ac:dyDescent="0.3">
      <c r="A233" s="314"/>
      <c r="B233" s="315" t="s">
        <v>26</v>
      </c>
      <c r="C233" s="316"/>
      <c r="D233" s="317">
        <f>SUM(D232:D232)</f>
        <v>0</v>
      </c>
      <c r="E233" s="317">
        <f>SUM(E231:E232)</f>
        <v>0</v>
      </c>
      <c r="F233" s="317">
        <f t="shared" ref="F233:H233" si="14">SUM(F231:F232)</f>
        <v>175000000</v>
      </c>
      <c r="G233" s="317">
        <f t="shared" si="14"/>
        <v>192160008</v>
      </c>
      <c r="H233" s="317">
        <f t="shared" si="14"/>
        <v>367160008</v>
      </c>
    </row>
    <row r="234" spans="1:8" s="14" customFormat="1" ht="13.8" x14ac:dyDescent="0.3">
      <c r="A234" s="298"/>
      <c r="B234" s="361"/>
      <c r="C234" s="306"/>
      <c r="D234" s="322"/>
      <c r="E234" s="322"/>
      <c r="F234" s="322"/>
      <c r="G234" s="322"/>
      <c r="H234" s="322"/>
    </row>
    <row r="235" spans="1:8" s="14" customFormat="1" ht="26.4" x14ac:dyDescent="0.3">
      <c r="A235" s="308">
        <v>17</v>
      </c>
      <c r="B235" s="309" t="s">
        <v>988</v>
      </c>
      <c r="C235" s="310" t="s">
        <v>989</v>
      </c>
      <c r="D235" s="322"/>
      <c r="E235" s="322"/>
      <c r="F235" s="322"/>
      <c r="G235" s="322"/>
      <c r="H235" s="343"/>
    </row>
    <row r="236" spans="1:8" s="14" customFormat="1" x14ac:dyDescent="0.25">
      <c r="A236" s="298"/>
      <c r="B236" s="311" t="s">
        <v>31</v>
      </c>
      <c r="C236" s="10"/>
      <c r="D236" s="10"/>
      <c r="E236" s="10"/>
      <c r="F236" s="10"/>
      <c r="G236" s="10"/>
      <c r="H236" s="10"/>
    </row>
    <row r="237" spans="1:8" s="14" customFormat="1" x14ac:dyDescent="0.25">
      <c r="A237" s="298"/>
      <c r="B237" s="312" t="s">
        <v>171</v>
      </c>
      <c r="C237" s="298" t="s">
        <v>174</v>
      </c>
      <c r="D237" s="301">
        <v>0</v>
      </c>
      <c r="E237" s="301">
        <v>0</v>
      </c>
      <c r="F237" s="301">
        <v>20000000</v>
      </c>
      <c r="G237" s="301">
        <v>0</v>
      </c>
      <c r="H237" s="301">
        <f>SUM(D237:G237)</f>
        <v>20000000</v>
      </c>
    </row>
    <row r="238" spans="1:8" s="14" customFormat="1" ht="26.4" x14ac:dyDescent="0.25">
      <c r="A238" s="298"/>
      <c r="B238" s="312"/>
      <c r="C238" s="331" t="s">
        <v>593</v>
      </c>
      <c r="D238" s="301">
        <v>0</v>
      </c>
      <c r="E238" s="301"/>
      <c r="F238" s="301">
        <v>155000000</v>
      </c>
      <c r="G238" s="301">
        <v>190351631</v>
      </c>
      <c r="H238" s="301">
        <f>SUM(D238:G238)</f>
        <v>345351631</v>
      </c>
    </row>
    <row r="239" spans="1:8" s="14" customFormat="1" ht="13.8" x14ac:dyDescent="0.3">
      <c r="A239" s="314"/>
      <c r="B239" s="315" t="s">
        <v>26</v>
      </c>
      <c r="C239" s="316"/>
      <c r="D239" s="317">
        <f>SUM(D238:D238)</f>
        <v>0</v>
      </c>
      <c r="E239" s="317">
        <f>SUM(E237:E238)</f>
        <v>0</v>
      </c>
      <c r="F239" s="317">
        <f t="shared" ref="F239:H239" si="15">SUM(F237:F238)</f>
        <v>175000000</v>
      </c>
      <c r="G239" s="317">
        <f t="shared" si="15"/>
        <v>190351631</v>
      </c>
      <c r="H239" s="317">
        <f t="shared" si="15"/>
        <v>365351631</v>
      </c>
    </row>
    <row r="240" spans="1:8" s="14" customFormat="1" ht="13.8" x14ac:dyDescent="0.3">
      <c r="A240" s="298"/>
      <c r="B240" s="361"/>
      <c r="C240" s="306"/>
      <c r="D240" s="322"/>
      <c r="E240" s="322"/>
      <c r="F240" s="322"/>
      <c r="G240" s="322"/>
      <c r="H240" s="322"/>
    </row>
    <row r="241" spans="1:8" ht="13.8" x14ac:dyDescent="0.3">
      <c r="A241" s="298"/>
      <c r="B241" s="361"/>
      <c r="C241" s="306"/>
      <c r="D241" s="322"/>
      <c r="E241" s="322"/>
      <c r="F241" s="322"/>
      <c r="G241" s="322"/>
      <c r="H241" s="322"/>
    </row>
    <row r="242" spans="1:8" ht="15.6" x14ac:dyDescent="0.3">
      <c r="A242" s="420" t="s">
        <v>178</v>
      </c>
      <c r="B242" s="420"/>
      <c r="C242" s="420"/>
      <c r="D242" s="342">
        <f>D119+D129+D138+D146+D153+D162+D171+D178+D185+D193+D200+D209+D215+D221+D227+D233+D239</f>
        <v>413845266</v>
      </c>
      <c r="E242" s="342">
        <f>E119+E129+E138+E146+E153+E162+E171+E178+E185+E193+E200+E209+E215+E221+E227+E233+E239</f>
        <v>351803807</v>
      </c>
      <c r="F242" s="342">
        <f>F119+F129+F138+F146+F153+F162+F171+F178+F185+F193+F200+F209+F215+F221+F227+F233+F239</f>
        <v>2004995070</v>
      </c>
      <c r="G242" s="342">
        <f t="shared" ref="G242:H242" si="16">G119+G129+G138+G146+G153+G162+G171+G178+G185+G193+G200+G209+G215+G221+G227+G233+G239</f>
        <v>587684572</v>
      </c>
      <c r="H242" s="342">
        <f t="shared" si="16"/>
        <v>3358818715</v>
      </c>
    </row>
    <row r="243" spans="1:8" x14ac:dyDescent="0.25">
      <c r="A243" s="298"/>
      <c r="B243" s="344"/>
      <c r="C243" s="298"/>
      <c r="D243" s="301"/>
      <c r="E243" s="301"/>
      <c r="F243" s="301"/>
      <c r="G243" s="301"/>
      <c r="H243" s="301"/>
    </row>
    <row r="244" spans="1:8" x14ac:dyDescent="0.25">
      <c r="A244" s="298"/>
      <c r="B244" s="344"/>
      <c r="C244" s="298"/>
      <c r="D244" s="301"/>
      <c r="E244" s="301"/>
      <c r="F244" s="301"/>
      <c r="G244" s="301"/>
      <c r="H244" s="301"/>
    </row>
    <row r="245" spans="1:8" x14ac:dyDescent="0.25">
      <c r="A245" s="298"/>
      <c r="B245" s="344"/>
      <c r="C245" s="298"/>
      <c r="D245" s="301"/>
      <c r="E245" s="301"/>
      <c r="F245" s="301"/>
      <c r="G245" s="301"/>
      <c r="H245" s="301"/>
    </row>
  </sheetData>
  <mergeCells count="6">
    <mergeCell ref="A4:H4"/>
    <mergeCell ref="A6:H6"/>
    <mergeCell ref="B109:C109"/>
    <mergeCell ref="A111:H111"/>
    <mergeCell ref="A112:H112"/>
    <mergeCell ref="A242:C242"/>
  </mergeCells>
  <pageMargins left="0.70866141732283472" right="0.70866141732283472" top="0.35433070866141736" bottom="0.35433070866141736" header="0.31496062992125984" footer="0.31496062992125984"/>
  <pageSetup paperSize="9" scale="91" fitToHeight="0" orientation="landscape" r:id="rId1"/>
  <rowBreaks count="4" manualBreakCount="4">
    <brk id="36" max="7" man="1"/>
    <brk id="109" max="7" man="1"/>
    <brk id="146" max="7" man="1"/>
    <brk id="186" max="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F6D42-629A-4F33-80BF-3ED097E5E3E1}">
  <sheetPr>
    <pageSetUpPr fitToPage="1"/>
  </sheetPr>
  <dimension ref="A1:O357"/>
  <sheetViews>
    <sheetView view="pageBreakPreview" zoomScaleNormal="100" zoomScaleSheetLayoutView="100" workbookViewId="0">
      <selection activeCell="O1" sqref="O1"/>
    </sheetView>
  </sheetViews>
  <sheetFormatPr defaultRowHeight="16.8" x14ac:dyDescent="0.3"/>
  <cols>
    <col min="1" max="1" width="5.88671875" style="488" customWidth="1"/>
    <col min="2" max="2" width="7.6640625" style="424" customWidth="1"/>
    <col min="3" max="3" width="65.44140625" style="424" customWidth="1"/>
    <col min="4" max="4" width="10.6640625" style="5" bestFit="1" customWidth="1"/>
    <col min="5" max="5" width="11.44140625" style="5" customWidth="1"/>
    <col min="6" max="6" width="9.6640625" style="5" customWidth="1"/>
    <col min="7" max="7" width="7.88671875" style="5" bestFit="1" customWidth="1"/>
    <col min="8" max="9" width="9" style="5" bestFit="1" customWidth="1"/>
    <col min="10" max="10" width="9.6640625" style="5" customWidth="1"/>
    <col min="11" max="11" width="7.88671875" style="5" bestFit="1" customWidth="1"/>
    <col min="12" max="12" width="10.6640625" style="5" bestFit="1" customWidth="1"/>
    <col min="13" max="13" width="11.44140625" style="5" customWidth="1"/>
    <col min="14" max="14" width="9.44140625" style="5" customWidth="1"/>
    <col min="15" max="15" width="7.88671875" style="5" bestFit="1" customWidth="1"/>
    <col min="16" max="16384" width="8.88671875" style="10"/>
  </cols>
  <sheetData>
    <row r="1" spans="1:15" x14ac:dyDescent="0.3">
      <c r="A1" s="167"/>
      <c r="B1" s="167"/>
      <c r="C1" s="167"/>
      <c r="D1" s="540"/>
      <c r="E1" s="540"/>
      <c r="F1" s="540"/>
      <c r="G1" s="542"/>
      <c r="H1" s="540"/>
      <c r="I1" s="540"/>
      <c r="J1" s="540"/>
      <c r="K1" s="542"/>
      <c r="L1" s="540"/>
      <c r="M1" s="540"/>
      <c r="N1" s="10"/>
      <c r="O1" s="8" t="s">
        <v>1025</v>
      </c>
    </row>
    <row r="2" spans="1:15" x14ac:dyDescent="0.3">
      <c r="A2" s="167"/>
      <c r="B2" s="167"/>
      <c r="C2" s="167"/>
      <c r="D2" s="540"/>
      <c r="E2" s="540"/>
      <c r="F2" s="540"/>
      <c r="G2" s="543"/>
      <c r="H2" s="540"/>
      <c r="I2" s="540"/>
      <c r="J2" s="540"/>
      <c r="K2" s="543"/>
      <c r="L2" s="540"/>
      <c r="M2" s="540"/>
      <c r="N2" s="540"/>
      <c r="O2" s="8" t="s">
        <v>1053</v>
      </c>
    </row>
    <row r="3" spans="1:15" x14ac:dyDescent="0.3">
      <c r="A3" s="541"/>
      <c r="B3" s="541"/>
      <c r="C3" s="541" t="s">
        <v>31</v>
      </c>
      <c r="D3" s="540"/>
      <c r="E3" s="540"/>
      <c r="F3" s="540"/>
      <c r="G3" s="540"/>
      <c r="H3" s="540"/>
      <c r="I3" s="540"/>
      <c r="J3" s="540"/>
      <c r="K3" s="540"/>
      <c r="L3" s="540"/>
      <c r="M3" s="540"/>
      <c r="N3" s="540"/>
      <c r="O3" s="540"/>
    </row>
    <row r="4" spans="1:15" ht="17.399999999999999" thickBot="1" x14ac:dyDescent="0.35">
      <c r="A4" s="545"/>
      <c r="B4" s="545"/>
      <c r="C4" s="545" t="s">
        <v>747</v>
      </c>
      <c r="D4" s="540"/>
      <c r="E4" s="540"/>
      <c r="F4" s="540"/>
      <c r="G4" s="540"/>
      <c r="H4" s="540"/>
      <c r="I4" s="540"/>
      <c r="J4" s="540"/>
      <c r="K4" s="540"/>
      <c r="L4" s="540"/>
      <c r="M4" s="540"/>
      <c r="N4" s="540"/>
      <c r="O4" s="540"/>
    </row>
    <row r="5" spans="1:15" ht="14.4" thickBot="1" x14ac:dyDescent="0.3">
      <c r="A5" s="546"/>
      <c r="B5" s="547"/>
      <c r="C5" s="548"/>
      <c r="D5" s="534" t="s">
        <v>1051</v>
      </c>
      <c r="E5" s="533"/>
      <c r="F5" s="533"/>
      <c r="G5" s="533"/>
      <c r="H5" s="532" t="s">
        <v>1050</v>
      </c>
      <c r="I5" s="531"/>
      <c r="J5" s="531"/>
      <c r="K5" s="530"/>
      <c r="L5" s="529" t="s">
        <v>1049</v>
      </c>
      <c r="M5" s="528"/>
      <c r="N5" s="528"/>
      <c r="O5" s="527"/>
    </row>
    <row r="6" spans="1:15" ht="42" thickBot="1" x14ac:dyDescent="0.3">
      <c r="A6" s="549"/>
      <c r="B6" s="550"/>
      <c r="C6" s="551"/>
      <c r="D6" s="552" t="s">
        <v>25</v>
      </c>
      <c r="E6" s="524" t="s">
        <v>42</v>
      </c>
      <c r="F6" s="523" t="s">
        <v>43</v>
      </c>
      <c r="G6" s="553" t="s">
        <v>725</v>
      </c>
      <c r="H6" s="552" t="s">
        <v>25</v>
      </c>
      <c r="I6" s="524" t="s">
        <v>42</v>
      </c>
      <c r="J6" s="523" t="s">
        <v>43</v>
      </c>
      <c r="K6" s="553" t="s">
        <v>725</v>
      </c>
      <c r="L6" s="552" t="s">
        <v>25</v>
      </c>
      <c r="M6" s="524" t="s">
        <v>42</v>
      </c>
      <c r="N6" s="523" t="s">
        <v>43</v>
      </c>
      <c r="O6" s="553" t="s">
        <v>725</v>
      </c>
    </row>
    <row r="7" spans="1:15" ht="13.8" x14ac:dyDescent="0.25">
      <c r="A7" s="554" t="s">
        <v>5</v>
      </c>
      <c r="B7" s="555" t="s">
        <v>6</v>
      </c>
      <c r="C7" s="556" t="s">
        <v>7</v>
      </c>
      <c r="D7" s="557"/>
      <c r="E7" s="558"/>
      <c r="F7" s="558"/>
      <c r="G7" s="559"/>
      <c r="H7" s="557"/>
      <c r="I7" s="558"/>
      <c r="J7" s="558"/>
      <c r="K7" s="559"/>
      <c r="L7" s="557"/>
      <c r="M7" s="558"/>
      <c r="N7" s="558"/>
      <c r="O7" s="559"/>
    </row>
    <row r="8" spans="1:15" ht="13.8" x14ac:dyDescent="0.25">
      <c r="A8" s="514"/>
      <c r="B8" s="560"/>
      <c r="C8" s="471"/>
      <c r="D8" s="458"/>
      <c r="E8" s="457"/>
      <c r="F8" s="457"/>
      <c r="G8" s="456"/>
      <c r="H8" s="458"/>
      <c r="I8" s="457"/>
      <c r="J8" s="457"/>
      <c r="K8" s="456"/>
      <c r="L8" s="458"/>
      <c r="M8" s="457"/>
      <c r="N8" s="457"/>
      <c r="O8" s="456"/>
    </row>
    <row r="9" spans="1:15" ht="13.8" x14ac:dyDescent="0.25">
      <c r="A9" s="514">
        <v>101</v>
      </c>
      <c r="B9" s="561"/>
      <c r="C9" s="476" t="s">
        <v>526</v>
      </c>
      <c r="D9" s="458"/>
      <c r="E9" s="457"/>
      <c r="F9" s="457"/>
      <c r="G9" s="456"/>
      <c r="H9" s="458"/>
      <c r="I9" s="457"/>
      <c r="J9" s="457"/>
      <c r="K9" s="456"/>
      <c r="L9" s="458"/>
      <c r="M9" s="457"/>
      <c r="N9" s="457"/>
      <c r="O9" s="456"/>
    </row>
    <row r="10" spans="1:15" ht="13.8" x14ac:dyDescent="0.25">
      <c r="A10" s="442"/>
      <c r="B10" s="562" t="s">
        <v>8</v>
      </c>
      <c r="C10" s="563" t="s">
        <v>22</v>
      </c>
      <c r="D10" s="439">
        <v>171396</v>
      </c>
      <c r="E10" s="438">
        <v>171396</v>
      </c>
      <c r="F10" s="438"/>
      <c r="G10" s="437"/>
      <c r="H10" s="439">
        <v>-3396</v>
      </c>
      <c r="I10" s="438">
        <v>-3396</v>
      </c>
      <c r="J10" s="438">
        <v>0</v>
      </c>
      <c r="K10" s="437">
        <v>0</v>
      </c>
      <c r="L10" s="439">
        <f>D10+H10</f>
        <v>168000</v>
      </c>
      <c r="M10" s="438">
        <f t="shared" ref="M10:O29" si="0">E10+I10</f>
        <v>168000</v>
      </c>
      <c r="N10" s="438">
        <f t="shared" si="0"/>
        <v>0</v>
      </c>
      <c r="O10" s="437">
        <f t="shared" si="0"/>
        <v>0</v>
      </c>
    </row>
    <row r="11" spans="1:15" ht="13.8" x14ac:dyDescent="0.25">
      <c r="A11" s="442"/>
      <c r="B11" s="562" t="s">
        <v>13</v>
      </c>
      <c r="C11" s="563" t="s">
        <v>55</v>
      </c>
      <c r="D11" s="439">
        <v>22186</v>
      </c>
      <c r="E11" s="438">
        <v>22186</v>
      </c>
      <c r="F11" s="438"/>
      <c r="G11" s="437"/>
      <c r="H11" s="439">
        <v>-151</v>
      </c>
      <c r="I11" s="438">
        <v>-151</v>
      </c>
      <c r="J11" s="438">
        <v>0</v>
      </c>
      <c r="K11" s="437">
        <v>0</v>
      </c>
      <c r="L11" s="439">
        <f t="shared" ref="L11:O80" si="1">D11+H11</f>
        <v>22035</v>
      </c>
      <c r="M11" s="438">
        <f t="shared" si="0"/>
        <v>22035</v>
      </c>
      <c r="N11" s="438">
        <f t="shared" si="0"/>
        <v>0</v>
      </c>
      <c r="O11" s="437">
        <f t="shared" si="0"/>
        <v>0</v>
      </c>
    </row>
    <row r="12" spans="1:15" ht="13.8" x14ac:dyDescent="0.25">
      <c r="A12" s="442"/>
      <c r="B12" s="562" t="s">
        <v>14</v>
      </c>
      <c r="C12" s="563" t="s">
        <v>27</v>
      </c>
      <c r="D12" s="439">
        <v>16150</v>
      </c>
      <c r="E12" s="438">
        <v>16150</v>
      </c>
      <c r="F12" s="438"/>
      <c r="G12" s="437"/>
      <c r="H12" s="439">
        <v>1988</v>
      </c>
      <c r="I12" s="438">
        <v>1988</v>
      </c>
      <c r="J12" s="438">
        <v>0</v>
      </c>
      <c r="K12" s="437">
        <v>0</v>
      </c>
      <c r="L12" s="439">
        <f t="shared" si="1"/>
        <v>18138</v>
      </c>
      <c r="M12" s="438">
        <f t="shared" si="0"/>
        <v>18138</v>
      </c>
      <c r="N12" s="438">
        <f t="shared" si="0"/>
        <v>0</v>
      </c>
      <c r="O12" s="437">
        <f t="shared" si="0"/>
        <v>0</v>
      </c>
    </row>
    <row r="13" spans="1:15" ht="13.8" x14ac:dyDescent="0.25">
      <c r="A13" s="442"/>
      <c r="B13" s="513" t="s">
        <v>16</v>
      </c>
      <c r="C13" s="563" t="s">
        <v>49</v>
      </c>
      <c r="D13" s="439"/>
      <c r="E13" s="438"/>
      <c r="F13" s="438"/>
      <c r="G13" s="437"/>
      <c r="H13" s="439"/>
      <c r="I13" s="438"/>
      <c r="J13" s="438"/>
      <c r="K13" s="437"/>
      <c r="L13" s="439"/>
      <c r="M13" s="438"/>
      <c r="N13" s="438"/>
      <c r="O13" s="437"/>
    </row>
    <row r="14" spans="1:15" ht="13.8" x14ac:dyDescent="0.25">
      <c r="A14" s="442"/>
      <c r="B14" s="562"/>
      <c r="C14" s="563" t="s">
        <v>1054</v>
      </c>
      <c r="D14" s="439"/>
      <c r="E14" s="438"/>
      <c r="F14" s="438"/>
      <c r="G14" s="437"/>
      <c r="H14" s="439">
        <v>138</v>
      </c>
      <c r="I14" s="438">
        <v>138</v>
      </c>
      <c r="J14" s="438">
        <v>0</v>
      </c>
      <c r="K14" s="437">
        <v>0</v>
      </c>
      <c r="L14" s="439">
        <f t="shared" ref="L14:O15" si="2">D14+H14</f>
        <v>138</v>
      </c>
      <c r="M14" s="438">
        <f t="shared" si="2"/>
        <v>138</v>
      </c>
      <c r="N14" s="438">
        <f t="shared" si="2"/>
        <v>0</v>
      </c>
      <c r="O14" s="437">
        <f t="shared" si="2"/>
        <v>0</v>
      </c>
    </row>
    <row r="15" spans="1:15" s="566" customFormat="1" ht="13.8" x14ac:dyDescent="0.25">
      <c r="A15" s="449"/>
      <c r="B15" s="564"/>
      <c r="C15" s="565" t="s">
        <v>1055</v>
      </c>
      <c r="D15" s="446"/>
      <c r="E15" s="445"/>
      <c r="F15" s="445"/>
      <c r="G15" s="444"/>
      <c r="H15" s="446">
        <f>SUM(H14)</f>
        <v>138</v>
      </c>
      <c r="I15" s="445">
        <f t="shared" ref="I15:K15" si="3">SUM(I14)</f>
        <v>138</v>
      </c>
      <c r="J15" s="445">
        <f t="shared" si="3"/>
        <v>0</v>
      </c>
      <c r="K15" s="444">
        <f t="shared" si="3"/>
        <v>0</v>
      </c>
      <c r="L15" s="446">
        <f t="shared" si="2"/>
        <v>138</v>
      </c>
      <c r="M15" s="445">
        <f t="shared" si="2"/>
        <v>138</v>
      </c>
      <c r="N15" s="445">
        <f t="shared" si="2"/>
        <v>0</v>
      </c>
      <c r="O15" s="444">
        <f t="shared" si="2"/>
        <v>0</v>
      </c>
    </row>
    <row r="16" spans="1:15" ht="13.8" x14ac:dyDescent="0.25">
      <c r="A16" s="567"/>
      <c r="B16" s="513" t="s">
        <v>19</v>
      </c>
      <c r="C16" s="563" t="s">
        <v>50</v>
      </c>
      <c r="D16" s="439"/>
      <c r="E16" s="438"/>
      <c r="F16" s="438"/>
      <c r="G16" s="437"/>
      <c r="H16" s="439"/>
      <c r="I16" s="438"/>
      <c r="J16" s="438"/>
      <c r="K16" s="437"/>
      <c r="L16" s="439"/>
      <c r="M16" s="438"/>
      <c r="N16" s="438"/>
      <c r="O16" s="437"/>
    </row>
    <row r="17" spans="1:15" ht="13.8" x14ac:dyDescent="0.25">
      <c r="A17" s="567"/>
      <c r="B17" s="513"/>
      <c r="C17" s="563" t="s">
        <v>706</v>
      </c>
      <c r="D17" s="439">
        <v>127</v>
      </c>
      <c r="E17" s="438">
        <v>127</v>
      </c>
      <c r="F17" s="438"/>
      <c r="G17" s="437"/>
      <c r="H17" s="439"/>
      <c r="I17" s="438"/>
      <c r="J17" s="438"/>
      <c r="K17" s="437"/>
      <c r="L17" s="439">
        <f t="shared" si="1"/>
        <v>127</v>
      </c>
      <c r="M17" s="438">
        <f t="shared" si="0"/>
        <v>127</v>
      </c>
      <c r="N17" s="438">
        <f t="shared" si="0"/>
        <v>0</v>
      </c>
      <c r="O17" s="437">
        <f t="shared" si="0"/>
        <v>0</v>
      </c>
    </row>
    <row r="18" spans="1:15" ht="13.8" x14ac:dyDescent="0.25">
      <c r="A18" s="567"/>
      <c r="B18" s="513"/>
      <c r="C18" s="563" t="s">
        <v>707</v>
      </c>
      <c r="D18" s="439">
        <v>444</v>
      </c>
      <c r="E18" s="438">
        <v>444</v>
      </c>
      <c r="F18" s="438"/>
      <c r="G18" s="437"/>
      <c r="H18" s="439">
        <v>1315</v>
      </c>
      <c r="I18" s="438">
        <v>1315</v>
      </c>
      <c r="J18" s="438">
        <v>0</v>
      </c>
      <c r="K18" s="437">
        <v>0</v>
      </c>
      <c r="L18" s="439">
        <f t="shared" si="1"/>
        <v>1759</v>
      </c>
      <c r="M18" s="438">
        <f t="shared" si="0"/>
        <v>1759</v>
      </c>
      <c r="N18" s="438">
        <f t="shared" si="0"/>
        <v>0</v>
      </c>
      <c r="O18" s="437">
        <f t="shared" si="0"/>
        <v>0</v>
      </c>
    </row>
    <row r="19" spans="1:15" ht="13.8" x14ac:dyDescent="0.25">
      <c r="A19" s="567"/>
      <c r="B19" s="513"/>
      <c r="C19" s="563" t="s">
        <v>748</v>
      </c>
      <c r="D19" s="439">
        <v>89</v>
      </c>
      <c r="E19" s="438">
        <v>89</v>
      </c>
      <c r="F19" s="438"/>
      <c r="G19" s="568"/>
      <c r="H19" s="439"/>
      <c r="I19" s="438"/>
      <c r="J19" s="438"/>
      <c r="K19" s="568"/>
      <c r="L19" s="439">
        <f t="shared" si="1"/>
        <v>89</v>
      </c>
      <c r="M19" s="438">
        <f t="shared" si="0"/>
        <v>89</v>
      </c>
      <c r="N19" s="438">
        <f t="shared" si="0"/>
        <v>0</v>
      </c>
      <c r="O19" s="568">
        <f t="shared" si="0"/>
        <v>0</v>
      </c>
    </row>
    <row r="20" spans="1:15" ht="13.8" x14ac:dyDescent="0.25">
      <c r="A20" s="567"/>
      <c r="B20" s="513"/>
      <c r="C20" s="563" t="s">
        <v>1056</v>
      </c>
      <c r="D20" s="439"/>
      <c r="E20" s="438"/>
      <c r="F20" s="438"/>
      <c r="G20" s="568"/>
      <c r="H20" s="439">
        <v>117</v>
      </c>
      <c r="I20" s="438">
        <v>117</v>
      </c>
      <c r="J20" s="438">
        <v>0</v>
      </c>
      <c r="K20" s="568">
        <v>0</v>
      </c>
      <c r="L20" s="439">
        <f t="shared" si="1"/>
        <v>117</v>
      </c>
      <c r="M20" s="438">
        <f t="shared" si="0"/>
        <v>117</v>
      </c>
      <c r="N20" s="438">
        <f t="shared" si="0"/>
        <v>0</v>
      </c>
      <c r="O20" s="568">
        <f t="shared" si="0"/>
        <v>0</v>
      </c>
    </row>
    <row r="21" spans="1:15" ht="13.8" x14ac:dyDescent="0.25">
      <c r="A21" s="569"/>
      <c r="B21" s="570"/>
      <c r="C21" s="565" t="s">
        <v>52</v>
      </c>
      <c r="D21" s="446">
        <f>SUM(D17:D19)</f>
        <v>660</v>
      </c>
      <c r="E21" s="445">
        <f>SUM(E17:E19)</f>
        <v>660</v>
      </c>
      <c r="F21" s="445">
        <f>SUM(F17:F19)</f>
        <v>0</v>
      </c>
      <c r="G21" s="571">
        <f>SUM(G17:G19)</f>
        <v>0</v>
      </c>
      <c r="H21" s="446">
        <f>SUM(H17:H20)</f>
        <v>1432</v>
      </c>
      <c r="I21" s="445">
        <f>SUM(I17:I20)</f>
        <v>1432</v>
      </c>
      <c r="J21" s="445">
        <f>SUM(J17:J20)</f>
        <v>0</v>
      </c>
      <c r="K21" s="571">
        <f>SUM(K17:K20)</f>
        <v>0</v>
      </c>
      <c r="L21" s="446">
        <f t="shared" si="1"/>
        <v>2092</v>
      </c>
      <c r="M21" s="445">
        <f t="shared" si="0"/>
        <v>2092</v>
      </c>
      <c r="N21" s="445">
        <f t="shared" si="0"/>
        <v>0</v>
      </c>
      <c r="O21" s="571">
        <f t="shared" si="0"/>
        <v>0</v>
      </c>
    </row>
    <row r="22" spans="1:15" ht="13.8" x14ac:dyDescent="0.25">
      <c r="A22" s="569"/>
      <c r="B22" s="513" t="s">
        <v>21</v>
      </c>
      <c r="C22" s="563" t="s">
        <v>20</v>
      </c>
      <c r="D22" s="446"/>
      <c r="E22" s="445"/>
      <c r="F22" s="445"/>
      <c r="G22" s="444"/>
      <c r="H22" s="446"/>
      <c r="I22" s="445"/>
      <c r="J22" s="445"/>
      <c r="K22" s="444"/>
      <c r="L22" s="446"/>
      <c r="M22" s="445"/>
      <c r="N22" s="445"/>
      <c r="O22" s="444"/>
    </row>
    <row r="23" spans="1:15" ht="13.8" x14ac:dyDescent="0.25">
      <c r="A23" s="569"/>
      <c r="B23" s="513"/>
      <c r="C23" s="563" t="s">
        <v>708</v>
      </c>
      <c r="D23" s="439">
        <v>3090</v>
      </c>
      <c r="E23" s="438">
        <v>3090</v>
      </c>
      <c r="F23" s="445"/>
      <c r="G23" s="444"/>
      <c r="H23" s="439"/>
      <c r="I23" s="438"/>
      <c r="J23" s="445"/>
      <c r="K23" s="444"/>
      <c r="L23" s="439">
        <f t="shared" si="1"/>
        <v>3090</v>
      </c>
      <c r="M23" s="438">
        <f t="shared" si="0"/>
        <v>3090</v>
      </c>
      <c r="N23" s="445">
        <f t="shared" si="0"/>
        <v>0</v>
      </c>
      <c r="O23" s="444">
        <f t="shared" si="0"/>
        <v>0</v>
      </c>
    </row>
    <row r="24" spans="1:15" ht="13.8" x14ac:dyDescent="0.25">
      <c r="A24" s="569"/>
      <c r="B24" s="513"/>
      <c r="C24" s="563" t="s">
        <v>749</v>
      </c>
      <c r="D24" s="439">
        <v>1000</v>
      </c>
      <c r="E24" s="438">
        <v>1000</v>
      </c>
      <c r="F24" s="445"/>
      <c r="G24" s="444"/>
      <c r="H24" s="439"/>
      <c r="I24" s="438"/>
      <c r="J24" s="445"/>
      <c r="K24" s="444"/>
      <c r="L24" s="439">
        <f t="shared" si="1"/>
        <v>1000</v>
      </c>
      <c r="M24" s="438">
        <f t="shared" si="0"/>
        <v>1000</v>
      </c>
      <c r="N24" s="445">
        <f t="shared" si="0"/>
        <v>0</v>
      </c>
      <c r="O24" s="444">
        <f t="shared" si="0"/>
        <v>0</v>
      </c>
    </row>
    <row r="25" spans="1:15" ht="13.8" x14ac:dyDescent="0.25">
      <c r="A25" s="569"/>
      <c r="B25" s="513"/>
      <c r="C25" s="565" t="s">
        <v>126</v>
      </c>
      <c r="D25" s="446">
        <f t="shared" ref="D25:K25" si="4">SUM(D23:D24)</f>
        <v>4090</v>
      </c>
      <c r="E25" s="445">
        <f t="shared" si="4"/>
        <v>4090</v>
      </c>
      <c r="F25" s="445">
        <f t="shared" si="4"/>
        <v>0</v>
      </c>
      <c r="G25" s="444">
        <f t="shared" si="4"/>
        <v>0</v>
      </c>
      <c r="H25" s="446">
        <f t="shared" si="4"/>
        <v>0</v>
      </c>
      <c r="I25" s="445">
        <f t="shared" si="4"/>
        <v>0</v>
      </c>
      <c r="J25" s="445">
        <f t="shared" si="4"/>
        <v>0</v>
      </c>
      <c r="K25" s="444">
        <f t="shared" si="4"/>
        <v>0</v>
      </c>
      <c r="L25" s="446">
        <f t="shared" si="1"/>
        <v>4090</v>
      </c>
      <c r="M25" s="445">
        <f t="shared" si="0"/>
        <v>4090</v>
      </c>
      <c r="N25" s="445">
        <f t="shared" si="0"/>
        <v>0</v>
      </c>
      <c r="O25" s="444">
        <f t="shared" si="0"/>
        <v>0</v>
      </c>
    </row>
    <row r="26" spans="1:15" ht="13.8" x14ac:dyDescent="0.25">
      <c r="A26" s="567"/>
      <c r="B26" s="513"/>
      <c r="C26" s="471" t="s">
        <v>10</v>
      </c>
      <c r="D26" s="572">
        <f>D10+D11+D12+D21+D25</f>
        <v>214482</v>
      </c>
      <c r="E26" s="573">
        <f>E10+E11+E12+E21+E25</f>
        <v>214482</v>
      </c>
      <c r="F26" s="573">
        <f>F10+F11+F12+F21+F25</f>
        <v>0</v>
      </c>
      <c r="G26" s="574">
        <f>G10+G11+G12+G21+G25</f>
        <v>0</v>
      </c>
      <c r="H26" s="572">
        <f>H10+H11+H12+H21+H25+H15</f>
        <v>11</v>
      </c>
      <c r="I26" s="573">
        <f>I10+I11+I12+I21+I25+I15</f>
        <v>11</v>
      </c>
      <c r="J26" s="573">
        <f>J10+J11+J12+J21+J25+J15</f>
        <v>0</v>
      </c>
      <c r="K26" s="574">
        <f>K10+K11+K12+K21+K25+K15</f>
        <v>0</v>
      </c>
      <c r="L26" s="572">
        <f t="shared" si="1"/>
        <v>214493</v>
      </c>
      <c r="M26" s="573">
        <f t="shared" si="0"/>
        <v>214493</v>
      </c>
      <c r="N26" s="573">
        <f t="shared" si="0"/>
        <v>0</v>
      </c>
      <c r="O26" s="574">
        <f t="shared" si="0"/>
        <v>0</v>
      </c>
    </row>
    <row r="27" spans="1:15" ht="13.8" x14ac:dyDescent="0.25">
      <c r="A27" s="567"/>
      <c r="B27" s="513"/>
      <c r="C27" s="471"/>
      <c r="D27" s="572"/>
      <c r="E27" s="573"/>
      <c r="F27" s="573"/>
      <c r="G27" s="574"/>
      <c r="H27" s="572"/>
      <c r="I27" s="573"/>
      <c r="J27" s="573"/>
      <c r="K27" s="574"/>
      <c r="L27" s="572"/>
      <c r="M27" s="573"/>
      <c r="N27" s="573"/>
      <c r="O27" s="574"/>
    </row>
    <row r="28" spans="1:15" ht="13.8" x14ac:dyDescent="0.25">
      <c r="A28" s="514">
        <v>102</v>
      </c>
      <c r="B28" s="561"/>
      <c r="C28" s="515" t="s">
        <v>487</v>
      </c>
      <c r="D28" s="458"/>
      <c r="E28" s="457"/>
      <c r="F28" s="457"/>
      <c r="G28" s="456"/>
      <c r="H28" s="458"/>
      <c r="I28" s="457"/>
      <c r="J28" s="457"/>
      <c r="K28" s="456"/>
      <c r="L28" s="458"/>
      <c r="M28" s="457"/>
      <c r="N28" s="457"/>
      <c r="O28" s="456"/>
    </row>
    <row r="29" spans="1:15" ht="13.8" x14ac:dyDescent="0.25">
      <c r="A29" s="442"/>
      <c r="B29" s="562" t="s">
        <v>8</v>
      </c>
      <c r="C29" s="563" t="s">
        <v>22</v>
      </c>
      <c r="D29" s="439">
        <v>202009</v>
      </c>
      <c r="E29" s="438">
        <v>202009</v>
      </c>
      <c r="F29" s="438"/>
      <c r="G29" s="437"/>
      <c r="H29" s="439">
        <v>-6209</v>
      </c>
      <c r="I29" s="438">
        <v>-6209</v>
      </c>
      <c r="J29" s="438">
        <v>0</v>
      </c>
      <c r="K29" s="437">
        <v>0</v>
      </c>
      <c r="L29" s="439">
        <f t="shared" si="1"/>
        <v>195800</v>
      </c>
      <c r="M29" s="438">
        <f t="shared" si="0"/>
        <v>195800</v>
      </c>
      <c r="N29" s="438">
        <f t="shared" si="0"/>
        <v>0</v>
      </c>
      <c r="O29" s="437">
        <f t="shared" si="0"/>
        <v>0</v>
      </c>
    </row>
    <row r="30" spans="1:15" ht="13.8" x14ac:dyDescent="0.25">
      <c r="A30" s="442"/>
      <c r="B30" s="562" t="s">
        <v>13</v>
      </c>
      <c r="C30" s="563" t="s">
        <v>55</v>
      </c>
      <c r="D30" s="439">
        <v>25931</v>
      </c>
      <c r="E30" s="438">
        <v>25931</v>
      </c>
      <c r="F30" s="438"/>
      <c r="G30" s="437"/>
      <c r="H30" s="439">
        <v>-359</v>
      </c>
      <c r="I30" s="438">
        <v>-359</v>
      </c>
      <c r="J30" s="438">
        <v>0</v>
      </c>
      <c r="K30" s="437">
        <v>0</v>
      </c>
      <c r="L30" s="439">
        <f t="shared" si="1"/>
        <v>25572</v>
      </c>
      <c r="M30" s="438">
        <f t="shared" si="1"/>
        <v>25572</v>
      </c>
      <c r="N30" s="438">
        <f t="shared" si="1"/>
        <v>0</v>
      </c>
      <c r="O30" s="437">
        <f t="shared" si="1"/>
        <v>0</v>
      </c>
    </row>
    <row r="31" spans="1:15" ht="13.8" x14ac:dyDescent="0.25">
      <c r="A31" s="442"/>
      <c r="B31" s="562" t="s">
        <v>14</v>
      </c>
      <c r="C31" s="563" t="s">
        <v>27</v>
      </c>
      <c r="D31" s="439">
        <v>10100</v>
      </c>
      <c r="E31" s="438">
        <v>10100</v>
      </c>
      <c r="F31" s="438"/>
      <c r="G31" s="437"/>
      <c r="H31" s="439">
        <v>664</v>
      </c>
      <c r="I31" s="438">
        <v>664</v>
      </c>
      <c r="J31" s="438">
        <v>0</v>
      </c>
      <c r="K31" s="437">
        <v>0</v>
      </c>
      <c r="L31" s="439">
        <f t="shared" si="1"/>
        <v>10764</v>
      </c>
      <c r="M31" s="438">
        <f t="shared" si="1"/>
        <v>10764</v>
      </c>
      <c r="N31" s="438">
        <f t="shared" si="1"/>
        <v>0</v>
      </c>
      <c r="O31" s="437">
        <f t="shared" si="1"/>
        <v>0</v>
      </c>
    </row>
    <row r="32" spans="1:15" ht="13.8" x14ac:dyDescent="0.25">
      <c r="A32" s="567"/>
      <c r="B32" s="513" t="s">
        <v>19</v>
      </c>
      <c r="C32" s="563" t="s">
        <v>50</v>
      </c>
      <c r="D32" s="439"/>
      <c r="E32" s="438"/>
      <c r="F32" s="438"/>
      <c r="G32" s="437"/>
      <c r="H32" s="439"/>
      <c r="I32" s="438"/>
      <c r="J32" s="438"/>
      <c r="K32" s="437"/>
      <c r="L32" s="439"/>
      <c r="M32" s="438"/>
      <c r="N32" s="438"/>
      <c r="O32" s="437"/>
    </row>
    <row r="33" spans="1:15" ht="13.8" x14ac:dyDescent="0.25">
      <c r="A33" s="442"/>
      <c r="B33" s="562"/>
      <c r="C33" s="563" t="s">
        <v>709</v>
      </c>
      <c r="D33" s="439">
        <v>445</v>
      </c>
      <c r="E33" s="438">
        <v>445</v>
      </c>
      <c r="F33" s="438"/>
      <c r="G33" s="437"/>
      <c r="H33" s="439"/>
      <c r="I33" s="438"/>
      <c r="J33" s="438"/>
      <c r="K33" s="437"/>
      <c r="L33" s="439">
        <f t="shared" si="1"/>
        <v>445</v>
      </c>
      <c r="M33" s="438">
        <f t="shared" si="1"/>
        <v>445</v>
      </c>
      <c r="N33" s="438">
        <f t="shared" si="1"/>
        <v>0</v>
      </c>
      <c r="O33" s="437">
        <f t="shared" si="1"/>
        <v>0</v>
      </c>
    </row>
    <row r="34" spans="1:15" ht="13.8" x14ac:dyDescent="0.25">
      <c r="A34" s="442"/>
      <c r="B34" s="562"/>
      <c r="C34" s="563" t="s">
        <v>1057</v>
      </c>
      <c r="D34" s="439"/>
      <c r="E34" s="438"/>
      <c r="F34" s="438"/>
      <c r="G34" s="437"/>
      <c r="H34" s="439">
        <v>64</v>
      </c>
      <c r="I34" s="438">
        <v>64</v>
      </c>
      <c r="J34" s="438">
        <v>0</v>
      </c>
      <c r="K34" s="437">
        <v>0</v>
      </c>
      <c r="L34" s="439">
        <f t="shared" si="1"/>
        <v>64</v>
      </c>
      <c r="M34" s="438">
        <f t="shared" si="1"/>
        <v>64</v>
      </c>
      <c r="N34" s="438">
        <f t="shared" si="1"/>
        <v>0</v>
      </c>
      <c r="O34" s="437">
        <f t="shared" si="1"/>
        <v>0</v>
      </c>
    </row>
    <row r="35" spans="1:15" ht="13.8" x14ac:dyDescent="0.25">
      <c r="A35" s="567"/>
      <c r="B35" s="570"/>
      <c r="C35" s="565" t="s">
        <v>52</v>
      </c>
      <c r="D35" s="446">
        <f t="shared" ref="D35:G35" si="5">SUM(D33:D33)</f>
        <v>445</v>
      </c>
      <c r="E35" s="445">
        <f t="shared" si="5"/>
        <v>445</v>
      </c>
      <c r="F35" s="445">
        <f t="shared" si="5"/>
        <v>0</v>
      </c>
      <c r="G35" s="444">
        <f t="shared" si="5"/>
        <v>0</v>
      </c>
      <c r="H35" s="446">
        <f>SUM(H33:H34)</f>
        <v>64</v>
      </c>
      <c r="I35" s="445">
        <f t="shared" ref="I35:K35" si="6">SUM(I33:I34)</f>
        <v>64</v>
      </c>
      <c r="J35" s="445">
        <f t="shared" si="6"/>
        <v>0</v>
      </c>
      <c r="K35" s="444">
        <f t="shared" si="6"/>
        <v>0</v>
      </c>
      <c r="L35" s="446">
        <f t="shared" si="1"/>
        <v>509</v>
      </c>
      <c r="M35" s="445">
        <f t="shared" si="1"/>
        <v>509</v>
      </c>
      <c r="N35" s="445">
        <f t="shared" si="1"/>
        <v>0</v>
      </c>
      <c r="O35" s="444">
        <f t="shared" si="1"/>
        <v>0</v>
      </c>
    </row>
    <row r="36" spans="1:15" ht="13.8" x14ac:dyDescent="0.25">
      <c r="A36" s="567"/>
      <c r="B36" s="513" t="s">
        <v>21</v>
      </c>
      <c r="C36" s="563" t="s">
        <v>20</v>
      </c>
      <c r="D36" s="446"/>
      <c r="E36" s="445"/>
      <c r="F36" s="445"/>
      <c r="G36" s="444"/>
      <c r="H36" s="446"/>
      <c r="I36" s="445"/>
      <c r="J36" s="445"/>
      <c r="K36" s="444"/>
      <c r="L36" s="446"/>
      <c r="M36" s="445"/>
      <c r="N36" s="445"/>
      <c r="O36" s="444"/>
    </row>
    <row r="37" spans="1:15" ht="13.8" x14ac:dyDescent="0.25">
      <c r="A37" s="567"/>
      <c r="B37" s="513"/>
      <c r="C37" s="575" t="s">
        <v>710</v>
      </c>
      <c r="D37" s="439">
        <v>12423</v>
      </c>
      <c r="E37" s="438">
        <v>12423</v>
      </c>
      <c r="F37" s="445"/>
      <c r="G37" s="444"/>
      <c r="H37" s="439">
        <v>8000</v>
      </c>
      <c r="I37" s="438">
        <v>8000</v>
      </c>
      <c r="J37" s="445">
        <v>0</v>
      </c>
      <c r="K37" s="444">
        <v>0</v>
      </c>
      <c r="L37" s="439">
        <f t="shared" si="1"/>
        <v>20423</v>
      </c>
      <c r="M37" s="438">
        <f t="shared" si="1"/>
        <v>20423</v>
      </c>
      <c r="N37" s="445">
        <f t="shared" si="1"/>
        <v>0</v>
      </c>
      <c r="O37" s="444">
        <f t="shared" si="1"/>
        <v>0</v>
      </c>
    </row>
    <row r="38" spans="1:15" ht="13.8" x14ac:dyDescent="0.25">
      <c r="A38" s="567"/>
      <c r="B38" s="513"/>
      <c r="C38" s="565" t="s">
        <v>126</v>
      </c>
      <c r="D38" s="446">
        <f t="shared" ref="D38:K38" si="7">SUM(D37:D37)</f>
        <v>12423</v>
      </c>
      <c r="E38" s="445">
        <f t="shared" si="7"/>
        <v>12423</v>
      </c>
      <c r="F38" s="445">
        <f t="shared" si="7"/>
        <v>0</v>
      </c>
      <c r="G38" s="444">
        <f t="shared" si="7"/>
        <v>0</v>
      </c>
      <c r="H38" s="446">
        <f t="shared" si="7"/>
        <v>8000</v>
      </c>
      <c r="I38" s="445">
        <f t="shared" si="7"/>
        <v>8000</v>
      </c>
      <c r="J38" s="445">
        <f t="shared" si="7"/>
        <v>0</v>
      </c>
      <c r="K38" s="444">
        <f t="shared" si="7"/>
        <v>0</v>
      </c>
      <c r="L38" s="446">
        <f t="shared" si="1"/>
        <v>20423</v>
      </c>
      <c r="M38" s="445">
        <f t="shared" si="1"/>
        <v>20423</v>
      </c>
      <c r="N38" s="445">
        <f t="shared" si="1"/>
        <v>0</v>
      </c>
      <c r="O38" s="444">
        <f t="shared" si="1"/>
        <v>0</v>
      </c>
    </row>
    <row r="39" spans="1:15" ht="13.8" x14ac:dyDescent="0.25">
      <c r="A39" s="567"/>
      <c r="B39" s="513"/>
      <c r="C39" s="563"/>
      <c r="D39" s="439"/>
      <c r="E39" s="438"/>
      <c r="F39" s="438"/>
      <c r="G39" s="437"/>
      <c r="H39" s="439"/>
      <c r="I39" s="438"/>
      <c r="J39" s="438"/>
      <c r="K39" s="437"/>
      <c r="L39" s="439"/>
      <c r="M39" s="438"/>
      <c r="N39" s="438"/>
      <c r="O39" s="437"/>
    </row>
    <row r="40" spans="1:15" ht="13.8" x14ac:dyDescent="0.25">
      <c r="A40" s="567"/>
      <c r="B40" s="513"/>
      <c r="C40" s="471" t="s">
        <v>30</v>
      </c>
      <c r="D40" s="572">
        <f t="shared" ref="D40:K40" si="8">D29+D30+D31+D38+D35</f>
        <v>250908</v>
      </c>
      <c r="E40" s="573">
        <f t="shared" si="8"/>
        <v>250908</v>
      </c>
      <c r="F40" s="573">
        <f t="shared" si="8"/>
        <v>0</v>
      </c>
      <c r="G40" s="574">
        <f t="shared" si="8"/>
        <v>0</v>
      </c>
      <c r="H40" s="572">
        <f t="shared" si="8"/>
        <v>2160</v>
      </c>
      <c r="I40" s="573">
        <f t="shared" si="8"/>
        <v>2160</v>
      </c>
      <c r="J40" s="573">
        <f t="shared" si="8"/>
        <v>0</v>
      </c>
      <c r="K40" s="574">
        <f t="shared" si="8"/>
        <v>0</v>
      </c>
      <c r="L40" s="572">
        <f t="shared" si="1"/>
        <v>253068</v>
      </c>
      <c r="M40" s="573">
        <f t="shared" si="1"/>
        <v>253068</v>
      </c>
      <c r="N40" s="573">
        <f t="shared" si="1"/>
        <v>0</v>
      </c>
      <c r="O40" s="574">
        <f t="shared" si="1"/>
        <v>0</v>
      </c>
    </row>
    <row r="41" spans="1:15" ht="13.8" x14ac:dyDescent="0.25">
      <c r="A41" s="567"/>
      <c r="B41" s="513"/>
      <c r="C41" s="563"/>
      <c r="D41" s="439"/>
      <c r="E41" s="438"/>
      <c r="F41" s="438"/>
      <c r="G41" s="437"/>
      <c r="H41" s="439"/>
      <c r="I41" s="438"/>
      <c r="J41" s="438"/>
      <c r="K41" s="437"/>
      <c r="L41" s="439"/>
      <c r="M41" s="438"/>
      <c r="N41" s="438"/>
      <c r="O41" s="437"/>
    </row>
    <row r="42" spans="1:15" ht="13.8" x14ac:dyDescent="0.25">
      <c r="A42" s="514">
        <v>103</v>
      </c>
      <c r="B42" s="561"/>
      <c r="C42" s="471" t="s">
        <v>45</v>
      </c>
      <c r="D42" s="458"/>
      <c r="E42" s="457"/>
      <c r="F42" s="457"/>
      <c r="G42" s="456"/>
      <c r="H42" s="458"/>
      <c r="I42" s="457"/>
      <c r="J42" s="457"/>
      <c r="K42" s="456"/>
      <c r="L42" s="458"/>
      <c r="M42" s="457"/>
      <c r="N42" s="457"/>
      <c r="O42" s="456"/>
    </row>
    <row r="43" spans="1:15" ht="13.8" x14ac:dyDescent="0.25">
      <c r="A43" s="442"/>
      <c r="B43" s="562" t="s">
        <v>8</v>
      </c>
      <c r="C43" s="563" t="s">
        <v>22</v>
      </c>
      <c r="D43" s="439">
        <v>122722</v>
      </c>
      <c r="E43" s="438">
        <v>122722</v>
      </c>
      <c r="F43" s="438"/>
      <c r="G43" s="437"/>
      <c r="H43" s="439">
        <v>-35240</v>
      </c>
      <c r="I43" s="438">
        <v>-35240</v>
      </c>
      <c r="J43" s="438">
        <v>0</v>
      </c>
      <c r="K43" s="437">
        <v>0</v>
      </c>
      <c r="L43" s="439">
        <f t="shared" si="1"/>
        <v>87482</v>
      </c>
      <c r="M43" s="438">
        <f t="shared" si="1"/>
        <v>87482</v>
      </c>
      <c r="N43" s="438">
        <f t="shared" si="1"/>
        <v>0</v>
      </c>
      <c r="O43" s="437">
        <f t="shared" si="1"/>
        <v>0</v>
      </c>
    </row>
    <row r="44" spans="1:15" ht="13.8" x14ac:dyDescent="0.25">
      <c r="A44" s="442"/>
      <c r="B44" s="562" t="s">
        <v>13</v>
      </c>
      <c r="C44" s="563" t="s">
        <v>55</v>
      </c>
      <c r="D44" s="439">
        <v>16117</v>
      </c>
      <c r="E44" s="438">
        <v>16117</v>
      </c>
      <c r="F44" s="438"/>
      <c r="G44" s="437"/>
      <c r="H44" s="439">
        <v>-4210</v>
      </c>
      <c r="I44" s="438">
        <v>-4210</v>
      </c>
      <c r="J44" s="438">
        <v>0</v>
      </c>
      <c r="K44" s="437">
        <v>0</v>
      </c>
      <c r="L44" s="439">
        <f t="shared" si="1"/>
        <v>11907</v>
      </c>
      <c r="M44" s="438">
        <f t="shared" si="1"/>
        <v>11907</v>
      </c>
      <c r="N44" s="438">
        <f t="shared" si="1"/>
        <v>0</v>
      </c>
      <c r="O44" s="437">
        <f t="shared" si="1"/>
        <v>0</v>
      </c>
    </row>
    <row r="45" spans="1:15" ht="13.8" x14ac:dyDescent="0.25">
      <c r="A45" s="442"/>
      <c r="B45" s="562" t="s">
        <v>14</v>
      </c>
      <c r="C45" s="563" t="s">
        <v>27</v>
      </c>
      <c r="D45" s="439">
        <v>409440</v>
      </c>
      <c r="E45" s="438">
        <v>409440</v>
      </c>
      <c r="F45" s="438"/>
      <c r="G45" s="437"/>
      <c r="H45" s="439">
        <v>-198862</v>
      </c>
      <c r="I45" s="438">
        <v>-198862</v>
      </c>
      <c r="J45" s="438">
        <v>0</v>
      </c>
      <c r="K45" s="437">
        <v>0</v>
      </c>
      <c r="L45" s="439">
        <f t="shared" si="1"/>
        <v>210578</v>
      </c>
      <c r="M45" s="438">
        <f t="shared" si="1"/>
        <v>210578</v>
      </c>
      <c r="N45" s="438">
        <f t="shared" si="1"/>
        <v>0</v>
      </c>
      <c r="O45" s="437">
        <f t="shared" si="1"/>
        <v>0</v>
      </c>
    </row>
    <row r="46" spans="1:15" ht="13.8" x14ac:dyDescent="0.25">
      <c r="A46" s="567"/>
      <c r="B46" s="513" t="s">
        <v>19</v>
      </c>
      <c r="C46" s="563" t="s">
        <v>50</v>
      </c>
      <c r="D46" s="439"/>
      <c r="E46" s="438"/>
      <c r="F46" s="438"/>
      <c r="G46" s="437"/>
      <c r="H46" s="439"/>
      <c r="I46" s="438"/>
      <c r="J46" s="438"/>
      <c r="K46" s="437"/>
      <c r="L46" s="439"/>
      <c r="M46" s="438"/>
      <c r="N46" s="438"/>
      <c r="O46" s="437"/>
    </row>
    <row r="47" spans="1:15" ht="13.8" x14ac:dyDescent="0.25">
      <c r="A47" s="567"/>
      <c r="B47" s="513"/>
      <c r="C47" s="563" t="s">
        <v>134</v>
      </c>
      <c r="D47" s="439">
        <v>570</v>
      </c>
      <c r="E47" s="438">
        <v>570</v>
      </c>
      <c r="F47" s="438"/>
      <c r="G47" s="437"/>
      <c r="H47" s="439">
        <v>-300</v>
      </c>
      <c r="I47" s="438">
        <v>-300</v>
      </c>
      <c r="J47" s="438">
        <v>0</v>
      </c>
      <c r="K47" s="437">
        <v>0</v>
      </c>
      <c r="L47" s="439">
        <f t="shared" si="1"/>
        <v>270</v>
      </c>
      <c r="M47" s="438">
        <f t="shared" si="1"/>
        <v>270</v>
      </c>
      <c r="N47" s="438">
        <f t="shared" si="1"/>
        <v>0</v>
      </c>
      <c r="O47" s="437">
        <f t="shared" si="1"/>
        <v>0</v>
      </c>
    </row>
    <row r="48" spans="1:15" ht="13.8" x14ac:dyDescent="0.25">
      <c r="A48" s="567"/>
      <c r="B48" s="513"/>
      <c r="C48" s="565" t="s">
        <v>52</v>
      </c>
      <c r="D48" s="446">
        <f t="shared" ref="D48:G48" si="9">SUM(D47)</f>
        <v>570</v>
      </c>
      <c r="E48" s="445">
        <f t="shared" si="9"/>
        <v>570</v>
      </c>
      <c r="F48" s="445">
        <f t="shared" si="9"/>
        <v>0</v>
      </c>
      <c r="G48" s="444">
        <f t="shared" si="9"/>
        <v>0</v>
      </c>
      <c r="H48" s="446">
        <f t="shared" ref="H48:K48" si="10">SUM(H47)</f>
        <v>-300</v>
      </c>
      <c r="I48" s="445">
        <f t="shared" si="10"/>
        <v>-300</v>
      </c>
      <c r="J48" s="445">
        <f t="shared" si="10"/>
        <v>0</v>
      </c>
      <c r="K48" s="444">
        <f t="shared" si="10"/>
        <v>0</v>
      </c>
      <c r="L48" s="446">
        <f t="shared" si="1"/>
        <v>270</v>
      </c>
      <c r="M48" s="445">
        <f t="shared" si="1"/>
        <v>270</v>
      </c>
      <c r="N48" s="445">
        <f t="shared" si="1"/>
        <v>0</v>
      </c>
      <c r="O48" s="444">
        <f t="shared" si="1"/>
        <v>0</v>
      </c>
    </row>
    <row r="49" spans="1:15" ht="13.8" x14ac:dyDescent="0.25">
      <c r="A49" s="567"/>
      <c r="B49" s="513"/>
      <c r="C49" s="471" t="s">
        <v>18</v>
      </c>
      <c r="D49" s="572">
        <f t="shared" ref="D49:G49" si="11">SUM(D43:D45)+D48</f>
        <v>548849</v>
      </c>
      <c r="E49" s="573">
        <f t="shared" si="11"/>
        <v>548849</v>
      </c>
      <c r="F49" s="573">
        <f t="shared" si="11"/>
        <v>0</v>
      </c>
      <c r="G49" s="574">
        <f t="shared" si="11"/>
        <v>0</v>
      </c>
      <c r="H49" s="572">
        <f t="shared" ref="H49:K49" si="12">SUM(H43:H45)+H48</f>
        <v>-238612</v>
      </c>
      <c r="I49" s="573">
        <f t="shared" si="12"/>
        <v>-238612</v>
      </c>
      <c r="J49" s="573">
        <f t="shared" si="12"/>
        <v>0</v>
      </c>
      <c r="K49" s="574">
        <f t="shared" si="12"/>
        <v>0</v>
      </c>
      <c r="L49" s="572">
        <f t="shared" si="1"/>
        <v>310237</v>
      </c>
      <c r="M49" s="573">
        <f t="shared" si="1"/>
        <v>310237</v>
      </c>
      <c r="N49" s="573">
        <f t="shared" si="1"/>
        <v>0</v>
      </c>
      <c r="O49" s="574">
        <f t="shared" si="1"/>
        <v>0</v>
      </c>
    </row>
    <row r="50" spans="1:15" ht="13.8" x14ac:dyDescent="0.25">
      <c r="A50" s="567"/>
      <c r="B50" s="513"/>
      <c r="C50" s="563"/>
      <c r="D50" s="439"/>
      <c r="E50" s="438"/>
      <c r="F50" s="438"/>
      <c r="G50" s="437"/>
      <c r="H50" s="439"/>
      <c r="I50" s="438"/>
      <c r="J50" s="438"/>
      <c r="K50" s="437"/>
      <c r="L50" s="439"/>
      <c r="M50" s="438"/>
      <c r="N50" s="438"/>
      <c r="O50" s="437"/>
    </row>
    <row r="51" spans="1:15" ht="13.8" x14ac:dyDescent="0.25">
      <c r="A51" s="514">
        <v>104</v>
      </c>
      <c r="B51" s="513"/>
      <c r="C51" s="471" t="s">
        <v>589</v>
      </c>
      <c r="D51" s="458"/>
      <c r="E51" s="457"/>
      <c r="F51" s="457"/>
      <c r="G51" s="456"/>
      <c r="H51" s="458"/>
      <c r="I51" s="457"/>
      <c r="J51" s="457"/>
      <c r="K51" s="456"/>
      <c r="L51" s="458"/>
      <c r="M51" s="457"/>
      <c r="N51" s="457"/>
      <c r="O51" s="456"/>
    </row>
    <row r="52" spans="1:15" ht="13.8" x14ac:dyDescent="0.25">
      <c r="A52" s="442"/>
      <c r="B52" s="562" t="s">
        <v>8</v>
      </c>
      <c r="C52" s="563" t="s">
        <v>22</v>
      </c>
      <c r="D52" s="439">
        <v>69104</v>
      </c>
      <c r="E52" s="438">
        <v>69104</v>
      </c>
      <c r="F52" s="438"/>
      <c r="G52" s="437"/>
      <c r="H52" s="439">
        <v>1074</v>
      </c>
      <c r="I52" s="438">
        <v>1074</v>
      </c>
      <c r="J52" s="438">
        <v>0</v>
      </c>
      <c r="K52" s="437">
        <v>0</v>
      </c>
      <c r="L52" s="439">
        <f t="shared" si="1"/>
        <v>70178</v>
      </c>
      <c r="M52" s="438">
        <f t="shared" si="1"/>
        <v>70178</v>
      </c>
      <c r="N52" s="438">
        <f t="shared" si="1"/>
        <v>0</v>
      </c>
      <c r="O52" s="437">
        <f t="shared" si="1"/>
        <v>0</v>
      </c>
    </row>
    <row r="53" spans="1:15" ht="13.8" x14ac:dyDescent="0.25">
      <c r="A53" s="442"/>
      <c r="B53" s="562" t="s">
        <v>13</v>
      </c>
      <c r="C53" s="563" t="s">
        <v>55</v>
      </c>
      <c r="D53" s="439">
        <v>8930</v>
      </c>
      <c r="E53" s="438">
        <v>8930</v>
      </c>
      <c r="F53" s="438"/>
      <c r="G53" s="437"/>
      <c r="H53" s="439">
        <v>142</v>
      </c>
      <c r="I53" s="438">
        <v>142</v>
      </c>
      <c r="J53" s="438">
        <v>0</v>
      </c>
      <c r="K53" s="437">
        <v>0</v>
      </c>
      <c r="L53" s="439">
        <f t="shared" si="1"/>
        <v>9072</v>
      </c>
      <c r="M53" s="438">
        <f t="shared" si="1"/>
        <v>9072</v>
      </c>
      <c r="N53" s="438">
        <f t="shared" si="1"/>
        <v>0</v>
      </c>
      <c r="O53" s="437">
        <f t="shared" si="1"/>
        <v>0</v>
      </c>
    </row>
    <row r="54" spans="1:15" ht="13.8" x14ac:dyDescent="0.25">
      <c r="A54" s="567"/>
      <c r="B54" s="513" t="s">
        <v>14</v>
      </c>
      <c r="C54" s="563" t="s">
        <v>27</v>
      </c>
      <c r="D54" s="439">
        <v>30150</v>
      </c>
      <c r="E54" s="438">
        <v>30150</v>
      </c>
      <c r="F54" s="438"/>
      <c r="G54" s="437"/>
      <c r="H54" s="439">
        <v>350</v>
      </c>
      <c r="I54" s="438">
        <v>350</v>
      </c>
      <c r="J54" s="438">
        <v>0</v>
      </c>
      <c r="K54" s="437">
        <v>0</v>
      </c>
      <c r="L54" s="439">
        <f t="shared" si="1"/>
        <v>30500</v>
      </c>
      <c r="M54" s="438">
        <f t="shared" si="1"/>
        <v>30500</v>
      </c>
      <c r="N54" s="438">
        <f t="shared" si="1"/>
        <v>0</v>
      </c>
      <c r="O54" s="437">
        <f t="shared" si="1"/>
        <v>0</v>
      </c>
    </row>
    <row r="55" spans="1:15" ht="13.8" x14ac:dyDescent="0.25">
      <c r="A55" s="567"/>
      <c r="B55" s="513" t="s">
        <v>19</v>
      </c>
      <c r="C55" s="563" t="s">
        <v>50</v>
      </c>
      <c r="D55" s="439"/>
      <c r="E55" s="438"/>
      <c r="F55" s="438"/>
      <c r="G55" s="437"/>
      <c r="H55" s="439"/>
      <c r="I55" s="438"/>
      <c r="J55" s="438"/>
      <c r="K55" s="437"/>
      <c r="L55" s="439"/>
      <c r="M55" s="438"/>
      <c r="N55" s="438"/>
      <c r="O55" s="437"/>
    </row>
    <row r="56" spans="1:15" ht="13.8" x14ac:dyDescent="0.25">
      <c r="A56" s="567"/>
      <c r="B56" s="513"/>
      <c r="C56" s="563" t="s">
        <v>134</v>
      </c>
      <c r="D56" s="439">
        <v>5009</v>
      </c>
      <c r="E56" s="438">
        <v>5009</v>
      </c>
      <c r="F56" s="438"/>
      <c r="G56" s="437"/>
      <c r="H56" s="439"/>
      <c r="I56" s="438"/>
      <c r="J56" s="438"/>
      <c r="K56" s="437"/>
      <c r="L56" s="439">
        <f t="shared" si="1"/>
        <v>5009</v>
      </c>
      <c r="M56" s="438">
        <f t="shared" si="1"/>
        <v>5009</v>
      </c>
      <c r="N56" s="438">
        <f t="shared" si="1"/>
        <v>0</v>
      </c>
      <c r="O56" s="437">
        <f t="shared" si="1"/>
        <v>0</v>
      </c>
    </row>
    <row r="57" spans="1:15" ht="13.8" x14ac:dyDescent="0.25">
      <c r="A57" s="569"/>
      <c r="B57" s="570"/>
      <c r="C57" s="565" t="s">
        <v>52</v>
      </c>
      <c r="D57" s="446">
        <f t="shared" ref="D57:K57" si="13">SUM(D56)</f>
        <v>5009</v>
      </c>
      <c r="E57" s="445">
        <f t="shared" si="13"/>
        <v>5009</v>
      </c>
      <c r="F57" s="445">
        <f t="shared" si="13"/>
        <v>0</v>
      </c>
      <c r="G57" s="444">
        <f t="shared" si="13"/>
        <v>0</v>
      </c>
      <c r="H57" s="446">
        <f t="shared" si="13"/>
        <v>0</v>
      </c>
      <c r="I57" s="445">
        <f t="shared" si="13"/>
        <v>0</v>
      </c>
      <c r="J57" s="445">
        <f t="shared" si="13"/>
        <v>0</v>
      </c>
      <c r="K57" s="444">
        <f t="shared" si="13"/>
        <v>0</v>
      </c>
      <c r="L57" s="446">
        <f t="shared" si="1"/>
        <v>5009</v>
      </c>
      <c r="M57" s="445">
        <f t="shared" si="1"/>
        <v>5009</v>
      </c>
      <c r="N57" s="445">
        <f t="shared" si="1"/>
        <v>0</v>
      </c>
      <c r="O57" s="444">
        <f t="shared" si="1"/>
        <v>0</v>
      </c>
    </row>
    <row r="58" spans="1:15" ht="13.8" x14ac:dyDescent="0.25">
      <c r="A58" s="569"/>
      <c r="B58" s="513" t="s">
        <v>21</v>
      </c>
      <c r="C58" s="563" t="s">
        <v>20</v>
      </c>
      <c r="D58" s="446"/>
      <c r="E58" s="445"/>
      <c r="F58" s="445"/>
      <c r="G58" s="444"/>
      <c r="H58" s="446"/>
      <c r="I58" s="445"/>
      <c r="J58" s="445"/>
      <c r="K58" s="444"/>
      <c r="L58" s="446"/>
      <c r="M58" s="445"/>
      <c r="N58" s="445"/>
      <c r="O58" s="444"/>
    </row>
    <row r="59" spans="1:15" ht="13.8" x14ac:dyDescent="0.25">
      <c r="A59" s="569"/>
      <c r="B59" s="513"/>
      <c r="C59" s="563" t="s">
        <v>750</v>
      </c>
      <c r="D59" s="439">
        <v>599</v>
      </c>
      <c r="E59" s="438">
        <v>599</v>
      </c>
      <c r="F59" s="438"/>
      <c r="G59" s="437"/>
      <c r="H59" s="439"/>
      <c r="I59" s="438"/>
      <c r="J59" s="438"/>
      <c r="K59" s="437"/>
      <c r="L59" s="439">
        <f t="shared" si="1"/>
        <v>599</v>
      </c>
      <c r="M59" s="438">
        <f t="shared" si="1"/>
        <v>599</v>
      </c>
      <c r="N59" s="438">
        <f t="shared" si="1"/>
        <v>0</v>
      </c>
      <c r="O59" s="437">
        <f t="shared" si="1"/>
        <v>0</v>
      </c>
    </row>
    <row r="60" spans="1:15" ht="13.8" x14ac:dyDescent="0.25">
      <c r="A60" s="569"/>
      <c r="B60" s="513"/>
      <c r="C60" s="565" t="s">
        <v>126</v>
      </c>
      <c r="D60" s="446">
        <f t="shared" ref="D60:K60" si="14">SUM(D59:D59)</f>
        <v>599</v>
      </c>
      <c r="E60" s="445">
        <f t="shared" si="14"/>
        <v>599</v>
      </c>
      <c r="F60" s="445">
        <f t="shared" si="14"/>
        <v>0</v>
      </c>
      <c r="G60" s="444">
        <f t="shared" si="14"/>
        <v>0</v>
      </c>
      <c r="H60" s="446">
        <f t="shared" si="14"/>
        <v>0</v>
      </c>
      <c r="I60" s="445">
        <f t="shared" si="14"/>
        <v>0</v>
      </c>
      <c r="J60" s="445">
        <f t="shared" si="14"/>
        <v>0</v>
      </c>
      <c r="K60" s="444">
        <f t="shared" si="14"/>
        <v>0</v>
      </c>
      <c r="L60" s="446">
        <f t="shared" si="1"/>
        <v>599</v>
      </c>
      <c r="M60" s="445">
        <f t="shared" si="1"/>
        <v>599</v>
      </c>
      <c r="N60" s="445">
        <f t="shared" si="1"/>
        <v>0</v>
      </c>
      <c r="O60" s="444">
        <f t="shared" si="1"/>
        <v>0</v>
      </c>
    </row>
    <row r="61" spans="1:15" ht="13.8" x14ac:dyDescent="0.25">
      <c r="A61" s="567"/>
      <c r="B61" s="513"/>
      <c r="C61" s="471" t="s">
        <v>47</v>
      </c>
      <c r="D61" s="572">
        <f t="shared" ref="D61:K61" si="15">SUM(D52:D54)+D57+D60</f>
        <v>113792</v>
      </c>
      <c r="E61" s="573">
        <f t="shared" si="15"/>
        <v>113792</v>
      </c>
      <c r="F61" s="573">
        <f t="shared" si="15"/>
        <v>0</v>
      </c>
      <c r="G61" s="574">
        <f t="shared" si="15"/>
        <v>0</v>
      </c>
      <c r="H61" s="572">
        <f t="shared" si="15"/>
        <v>1566</v>
      </c>
      <c r="I61" s="573">
        <f t="shared" si="15"/>
        <v>1566</v>
      </c>
      <c r="J61" s="573">
        <f t="shared" si="15"/>
        <v>0</v>
      </c>
      <c r="K61" s="574">
        <f t="shared" si="15"/>
        <v>0</v>
      </c>
      <c r="L61" s="572">
        <f t="shared" si="1"/>
        <v>115358</v>
      </c>
      <c r="M61" s="573">
        <f t="shared" si="1"/>
        <v>115358</v>
      </c>
      <c r="N61" s="573">
        <f t="shared" si="1"/>
        <v>0</v>
      </c>
      <c r="O61" s="574">
        <f t="shared" si="1"/>
        <v>0</v>
      </c>
    </row>
    <row r="62" spans="1:15" ht="13.8" x14ac:dyDescent="0.25">
      <c r="A62" s="567"/>
      <c r="B62" s="513"/>
      <c r="C62" s="471"/>
      <c r="D62" s="458"/>
      <c r="E62" s="457"/>
      <c r="F62" s="457"/>
      <c r="G62" s="456"/>
      <c r="H62" s="458"/>
      <c r="I62" s="457"/>
      <c r="J62" s="457"/>
      <c r="K62" s="456"/>
      <c r="L62" s="458"/>
      <c r="M62" s="457"/>
      <c r="N62" s="457"/>
      <c r="O62" s="456"/>
    </row>
    <row r="63" spans="1:15" ht="13.8" x14ac:dyDescent="0.25">
      <c r="A63" s="567"/>
      <c r="B63" s="513"/>
      <c r="C63" s="471" t="s">
        <v>553</v>
      </c>
      <c r="D63" s="572">
        <f t="shared" ref="D63:K63" si="16">SUM(D26,D49,D61,D40)</f>
        <v>1128031</v>
      </c>
      <c r="E63" s="573">
        <f t="shared" si="16"/>
        <v>1128031</v>
      </c>
      <c r="F63" s="573">
        <f t="shared" si="16"/>
        <v>0</v>
      </c>
      <c r="G63" s="574">
        <f t="shared" si="16"/>
        <v>0</v>
      </c>
      <c r="H63" s="572">
        <f t="shared" si="16"/>
        <v>-234875</v>
      </c>
      <c r="I63" s="573">
        <f t="shared" si="16"/>
        <v>-234875</v>
      </c>
      <c r="J63" s="573">
        <f t="shared" si="16"/>
        <v>0</v>
      </c>
      <c r="K63" s="574">
        <f t="shared" si="16"/>
        <v>0</v>
      </c>
      <c r="L63" s="572">
        <f t="shared" si="1"/>
        <v>893156</v>
      </c>
      <c r="M63" s="573">
        <f t="shared" si="1"/>
        <v>893156</v>
      </c>
      <c r="N63" s="573">
        <f t="shared" si="1"/>
        <v>0</v>
      </c>
      <c r="O63" s="574">
        <f t="shared" si="1"/>
        <v>0</v>
      </c>
    </row>
    <row r="64" spans="1:15" ht="13.8" x14ac:dyDescent="0.25">
      <c r="A64" s="567"/>
      <c r="B64" s="513"/>
      <c r="C64" s="471"/>
      <c r="D64" s="458"/>
      <c r="E64" s="457"/>
      <c r="F64" s="457"/>
      <c r="G64" s="456"/>
      <c r="H64" s="458"/>
      <c r="I64" s="457"/>
      <c r="J64" s="457"/>
      <c r="K64" s="456"/>
      <c r="L64" s="458"/>
      <c r="M64" s="457"/>
      <c r="N64" s="457"/>
      <c r="O64" s="456"/>
    </row>
    <row r="65" spans="1:15" ht="13.8" x14ac:dyDescent="0.25">
      <c r="A65" s="514">
        <v>105</v>
      </c>
      <c r="B65" s="513"/>
      <c r="C65" s="471" t="s">
        <v>46</v>
      </c>
      <c r="D65" s="458"/>
      <c r="E65" s="457"/>
      <c r="F65" s="457"/>
      <c r="G65" s="456"/>
      <c r="H65" s="458"/>
      <c r="I65" s="457"/>
      <c r="J65" s="457"/>
      <c r="K65" s="456"/>
      <c r="L65" s="458"/>
      <c r="M65" s="457"/>
      <c r="N65" s="457"/>
      <c r="O65" s="456"/>
    </row>
    <row r="66" spans="1:15" ht="13.8" x14ac:dyDescent="0.25">
      <c r="A66" s="442"/>
      <c r="B66" s="562" t="s">
        <v>8</v>
      </c>
      <c r="C66" s="563" t="s">
        <v>22</v>
      </c>
      <c r="D66" s="439">
        <v>360517</v>
      </c>
      <c r="E66" s="438">
        <v>360517</v>
      </c>
      <c r="F66" s="438"/>
      <c r="G66" s="437"/>
      <c r="H66" s="439">
        <v>25832</v>
      </c>
      <c r="I66" s="438">
        <v>25832</v>
      </c>
      <c r="J66" s="438">
        <v>0</v>
      </c>
      <c r="K66" s="437">
        <v>0</v>
      </c>
      <c r="L66" s="439">
        <f t="shared" si="1"/>
        <v>386349</v>
      </c>
      <c r="M66" s="438">
        <f t="shared" si="1"/>
        <v>386349</v>
      </c>
      <c r="N66" s="438">
        <f t="shared" si="1"/>
        <v>0</v>
      </c>
      <c r="O66" s="437">
        <f t="shared" si="1"/>
        <v>0</v>
      </c>
    </row>
    <row r="67" spans="1:15" ht="13.8" x14ac:dyDescent="0.25">
      <c r="A67" s="442"/>
      <c r="B67" s="562" t="s">
        <v>13</v>
      </c>
      <c r="C67" s="563" t="s">
        <v>55</v>
      </c>
      <c r="D67" s="439">
        <v>50258</v>
      </c>
      <c r="E67" s="438">
        <v>50258</v>
      </c>
      <c r="F67" s="438"/>
      <c r="G67" s="437"/>
      <c r="H67" s="439">
        <v>3456</v>
      </c>
      <c r="I67" s="438">
        <v>3456</v>
      </c>
      <c r="J67" s="438">
        <v>0</v>
      </c>
      <c r="K67" s="437">
        <v>0</v>
      </c>
      <c r="L67" s="439">
        <f t="shared" si="1"/>
        <v>53714</v>
      </c>
      <c r="M67" s="438">
        <f t="shared" si="1"/>
        <v>53714</v>
      </c>
      <c r="N67" s="438">
        <f t="shared" si="1"/>
        <v>0</v>
      </c>
      <c r="O67" s="437">
        <f t="shared" si="1"/>
        <v>0</v>
      </c>
    </row>
    <row r="68" spans="1:15" ht="13.8" x14ac:dyDescent="0.25">
      <c r="A68" s="567"/>
      <c r="B68" s="513" t="s">
        <v>14</v>
      </c>
      <c r="C68" s="563" t="s">
        <v>27</v>
      </c>
      <c r="D68" s="439">
        <v>63522</v>
      </c>
      <c r="E68" s="438">
        <v>63522</v>
      </c>
      <c r="F68" s="438"/>
      <c r="G68" s="437"/>
      <c r="H68" s="439">
        <v>4701</v>
      </c>
      <c r="I68" s="438">
        <v>4701</v>
      </c>
      <c r="J68" s="438">
        <v>0</v>
      </c>
      <c r="K68" s="437">
        <v>0</v>
      </c>
      <c r="L68" s="439">
        <f t="shared" si="1"/>
        <v>68223</v>
      </c>
      <c r="M68" s="438">
        <f t="shared" si="1"/>
        <v>68223</v>
      </c>
      <c r="N68" s="438">
        <f t="shared" si="1"/>
        <v>0</v>
      </c>
      <c r="O68" s="437">
        <f t="shared" si="1"/>
        <v>0</v>
      </c>
    </row>
    <row r="69" spans="1:15" ht="13.8" x14ac:dyDescent="0.25">
      <c r="A69" s="567"/>
      <c r="B69" s="513" t="s">
        <v>19</v>
      </c>
      <c r="C69" s="563" t="s">
        <v>50</v>
      </c>
      <c r="D69" s="439"/>
      <c r="E69" s="438"/>
      <c r="F69" s="438"/>
      <c r="G69" s="437"/>
      <c r="H69" s="439"/>
      <c r="I69" s="438"/>
      <c r="J69" s="438"/>
      <c r="K69" s="437"/>
      <c r="L69" s="439"/>
      <c r="M69" s="438"/>
      <c r="N69" s="438"/>
      <c r="O69" s="437"/>
    </row>
    <row r="70" spans="1:15" ht="13.8" x14ac:dyDescent="0.25">
      <c r="A70" s="442"/>
      <c r="B70" s="576"/>
      <c r="C70" s="563" t="s">
        <v>0</v>
      </c>
      <c r="D70" s="439">
        <v>3000</v>
      </c>
      <c r="E70" s="438">
        <v>3000</v>
      </c>
      <c r="F70" s="438"/>
      <c r="G70" s="437"/>
      <c r="H70" s="439"/>
      <c r="I70" s="438"/>
      <c r="J70" s="438"/>
      <c r="K70" s="437"/>
      <c r="L70" s="439">
        <f t="shared" si="1"/>
        <v>3000</v>
      </c>
      <c r="M70" s="438">
        <f t="shared" si="1"/>
        <v>3000</v>
      </c>
      <c r="N70" s="438">
        <f t="shared" si="1"/>
        <v>0</v>
      </c>
      <c r="O70" s="437">
        <f t="shared" si="1"/>
        <v>0</v>
      </c>
    </row>
    <row r="71" spans="1:15" ht="13.8" x14ac:dyDescent="0.25">
      <c r="A71" s="567"/>
      <c r="B71" s="513"/>
      <c r="C71" s="563" t="s">
        <v>751</v>
      </c>
      <c r="D71" s="439">
        <v>3000</v>
      </c>
      <c r="E71" s="438">
        <v>3000</v>
      </c>
      <c r="F71" s="438"/>
      <c r="G71" s="437"/>
      <c r="H71" s="439"/>
      <c r="I71" s="438"/>
      <c r="J71" s="438"/>
      <c r="K71" s="437"/>
      <c r="L71" s="439">
        <f t="shared" si="1"/>
        <v>3000</v>
      </c>
      <c r="M71" s="438">
        <f t="shared" si="1"/>
        <v>3000</v>
      </c>
      <c r="N71" s="438">
        <f t="shared" si="1"/>
        <v>0</v>
      </c>
      <c r="O71" s="437">
        <f t="shared" si="1"/>
        <v>0</v>
      </c>
    </row>
    <row r="72" spans="1:15" ht="13.8" x14ac:dyDescent="0.25">
      <c r="A72" s="567"/>
      <c r="B72" s="513"/>
      <c r="C72" s="563" t="s">
        <v>752</v>
      </c>
      <c r="D72" s="439">
        <v>200</v>
      </c>
      <c r="E72" s="438">
        <v>200</v>
      </c>
      <c r="F72" s="438"/>
      <c r="G72" s="437"/>
      <c r="H72" s="439"/>
      <c r="I72" s="438"/>
      <c r="J72" s="438"/>
      <c r="K72" s="437"/>
      <c r="L72" s="439">
        <f t="shared" si="1"/>
        <v>200</v>
      </c>
      <c r="M72" s="438">
        <f t="shared" si="1"/>
        <v>200</v>
      </c>
      <c r="N72" s="438">
        <f t="shared" si="1"/>
        <v>0</v>
      </c>
      <c r="O72" s="437">
        <f t="shared" si="1"/>
        <v>0</v>
      </c>
    </row>
    <row r="73" spans="1:15" ht="13.8" x14ac:dyDescent="0.25">
      <c r="A73" s="567"/>
      <c r="B73" s="513"/>
      <c r="C73" s="563" t="s">
        <v>1058</v>
      </c>
      <c r="D73" s="439"/>
      <c r="E73" s="438"/>
      <c r="F73" s="438"/>
      <c r="G73" s="437"/>
      <c r="H73" s="439">
        <v>2747</v>
      </c>
      <c r="I73" s="438">
        <v>2747</v>
      </c>
      <c r="J73" s="438">
        <v>0</v>
      </c>
      <c r="K73" s="437">
        <v>0</v>
      </c>
      <c r="L73" s="439">
        <f t="shared" si="1"/>
        <v>2747</v>
      </c>
      <c r="M73" s="438">
        <f t="shared" si="1"/>
        <v>2747</v>
      </c>
      <c r="N73" s="438">
        <f t="shared" si="1"/>
        <v>0</v>
      </c>
      <c r="O73" s="437">
        <f t="shared" si="1"/>
        <v>0</v>
      </c>
    </row>
    <row r="74" spans="1:15" ht="13.8" x14ac:dyDescent="0.25">
      <c r="A74" s="569"/>
      <c r="B74" s="570"/>
      <c r="C74" s="565" t="s">
        <v>52</v>
      </c>
      <c r="D74" s="446">
        <f>SUM(D70:D72)</f>
        <v>6200</v>
      </c>
      <c r="E74" s="445">
        <f>SUM(E70:E72)</f>
        <v>6200</v>
      </c>
      <c r="F74" s="445">
        <f>SUM(F70:F72)</f>
        <v>0</v>
      </c>
      <c r="G74" s="444">
        <f>SUM(G70:G72)</f>
        <v>0</v>
      </c>
      <c r="H74" s="446">
        <f>SUM(H70:H73)</f>
        <v>2747</v>
      </c>
      <c r="I74" s="445">
        <f t="shared" ref="I74:K74" si="17">SUM(I70:I73)</f>
        <v>2747</v>
      </c>
      <c r="J74" s="445">
        <f t="shared" si="17"/>
        <v>0</v>
      </c>
      <c r="K74" s="444">
        <f t="shared" si="17"/>
        <v>0</v>
      </c>
      <c r="L74" s="446">
        <f t="shared" si="1"/>
        <v>8947</v>
      </c>
      <c r="M74" s="445">
        <f t="shared" si="1"/>
        <v>8947</v>
      </c>
      <c r="N74" s="445">
        <f t="shared" si="1"/>
        <v>0</v>
      </c>
      <c r="O74" s="444">
        <f t="shared" si="1"/>
        <v>0</v>
      </c>
    </row>
    <row r="75" spans="1:15" ht="13.8" x14ac:dyDescent="0.25">
      <c r="A75" s="569"/>
      <c r="B75" s="570"/>
      <c r="C75" s="565"/>
      <c r="D75" s="446"/>
      <c r="E75" s="445"/>
      <c r="F75" s="445"/>
      <c r="G75" s="444"/>
      <c r="H75" s="446"/>
      <c r="I75" s="445"/>
      <c r="J75" s="445"/>
      <c r="K75" s="444"/>
      <c r="L75" s="446"/>
      <c r="M75" s="445"/>
      <c r="N75" s="445"/>
      <c r="O75" s="444"/>
    </row>
    <row r="76" spans="1:15" ht="13.8" x14ac:dyDescent="0.25">
      <c r="A76" s="567"/>
      <c r="B76" s="513"/>
      <c r="C76" s="471" t="s">
        <v>12</v>
      </c>
      <c r="D76" s="458">
        <f>D66+D67+D68+D74</f>
        <v>480497</v>
      </c>
      <c r="E76" s="457">
        <f>E66+E67+E68+E74</f>
        <v>480497</v>
      </c>
      <c r="F76" s="457">
        <f>F66+F67+F68+F74</f>
        <v>0</v>
      </c>
      <c r="G76" s="456">
        <f>G66+G67+G68+G74</f>
        <v>0</v>
      </c>
      <c r="H76" s="458">
        <f>H66+H67+H68+H74</f>
        <v>36736</v>
      </c>
      <c r="I76" s="457">
        <f t="shared" ref="I76:K76" si="18">I66+I67+I68+I74</f>
        <v>36736</v>
      </c>
      <c r="J76" s="457">
        <f t="shared" si="18"/>
        <v>0</v>
      </c>
      <c r="K76" s="456">
        <f t="shared" si="18"/>
        <v>0</v>
      </c>
      <c r="L76" s="458">
        <f t="shared" si="1"/>
        <v>517233</v>
      </c>
      <c r="M76" s="457">
        <f t="shared" si="1"/>
        <v>517233</v>
      </c>
      <c r="N76" s="457">
        <f t="shared" si="1"/>
        <v>0</v>
      </c>
      <c r="O76" s="456">
        <f t="shared" si="1"/>
        <v>0</v>
      </c>
    </row>
    <row r="77" spans="1:15" ht="14.4" x14ac:dyDescent="0.3">
      <c r="A77" s="567"/>
      <c r="B77" s="513"/>
      <c r="C77" s="577"/>
      <c r="D77" s="578"/>
      <c r="E77" s="501"/>
      <c r="F77" s="501"/>
      <c r="G77" s="579"/>
      <c r="H77" s="578"/>
      <c r="I77" s="501"/>
      <c r="J77" s="501"/>
      <c r="K77" s="579"/>
      <c r="L77" s="578"/>
      <c r="M77" s="501"/>
      <c r="N77" s="501"/>
      <c r="O77" s="579"/>
    </row>
    <row r="78" spans="1:15" ht="13.8" x14ac:dyDescent="0.25">
      <c r="A78" s="514">
        <v>106</v>
      </c>
      <c r="B78" s="513"/>
      <c r="C78" s="471" t="s">
        <v>31</v>
      </c>
      <c r="D78" s="458"/>
      <c r="E78" s="457"/>
      <c r="F78" s="457"/>
      <c r="G78" s="456"/>
      <c r="H78" s="458"/>
      <c r="I78" s="457"/>
      <c r="J78" s="457"/>
      <c r="K78" s="456"/>
      <c r="L78" s="458"/>
      <c r="M78" s="457"/>
      <c r="N78" s="457"/>
      <c r="O78" s="456"/>
    </row>
    <row r="79" spans="1:15" ht="14.4" x14ac:dyDescent="0.3">
      <c r="A79" s="567"/>
      <c r="B79" s="513" t="s">
        <v>8</v>
      </c>
      <c r="C79" s="563" t="s">
        <v>22</v>
      </c>
      <c r="D79" s="578"/>
      <c r="E79" s="501"/>
      <c r="F79" s="501"/>
      <c r="G79" s="579"/>
      <c r="H79" s="578"/>
      <c r="I79" s="501"/>
      <c r="J79" s="501"/>
      <c r="K79" s="579"/>
      <c r="L79" s="578"/>
      <c r="M79" s="501"/>
      <c r="N79" s="501"/>
      <c r="O79" s="579"/>
    </row>
    <row r="80" spans="1:15" ht="13.8" x14ac:dyDescent="0.25">
      <c r="A80" s="567"/>
      <c r="B80" s="513"/>
      <c r="C80" s="563" t="s">
        <v>554</v>
      </c>
      <c r="D80" s="439">
        <v>34265</v>
      </c>
      <c r="E80" s="438">
        <v>34265</v>
      </c>
      <c r="F80" s="438"/>
      <c r="G80" s="437"/>
      <c r="H80" s="439"/>
      <c r="I80" s="438"/>
      <c r="J80" s="438"/>
      <c r="K80" s="437"/>
      <c r="L80" s="439">
        <f t="shared" si="1"/>
        <v>34265</v>
      </c>
      <c r="M80" s="438">
        <f t="shared" si="1"/>
        <v>34265</v>
      </c>
      <c r="N80" s="438">
        <f t="shared" si="1"/>
        <v>0</v>
      </c>
      <c r="O80" s="437">
        <f t="shared" si="1"/>
        <v>0</v>
      </c>
    </row>
    <row r="81" spans="1:15" ht="13.8" x14ac:dyDescent="0.25">
      <c r="A81" s="567"/>
      <c r="B81" s="513"/>
      <c r="C81" s="575" t="s">
        <v>723</v>
      </c>
      <c r="D81" s="439">
        <v>26831</v>
      </c>
      <c r="E81" s="438">
        <v>26831</v>
      </c>
      <c r="F81" s="438"/>
      <c r="G81" s="437"/>
      <c r="H81" s="439"/>
      <c r="I81" s="438"/>
      <c r="J81" s="438"/>
      <c r="K81" s="437"/>
      <c r="L81" s="439">
        <f t="shared" ref="L81:O146" si="19">D81+H81</f>
        <v>26831</v>
      </c>
      <c r="M81" s="438">
        <f t="shared" si="19"/>
        <v>26831</v>
      </c>
      <c r="N81" s="438">
        <f t="shared" si="19"/>
        <v>0</v>
      </c>
      <c r="O81" s="437">
        <f t="shared" si="19"/>
        <v>0</v>
      </c>
    </row>
    <row r="82" spans="1:15" ht="13.8" x14ac:dyDescent="0.25">
      <c r="A82" s="567"/>
      <c r="B82" s="513"/>
      <c r="C82" s="575" t="s">
        <v>555</v>
      </c>
      <c r="D82" s="439">
        <v>11387</v>
      </c>
      <c r="E82" s="438"/>
      <c r="F82" s="438">
        <v>11387</v>
      </c>
      <c r="G82" s="437"/>
      <c r="H82" s="439"/>
      <c r="I82" s="438"/>
      <c r="J82" s="438"/>
      <c r="K82" s="437"/>
      <c r="L82" s="439">
        <f t="shared" si="19"/>
        <v>11387</v>
      </c>
      <c r="M82" s="438">
        <f t="shared" si="19"/>
        <v>0</v>
      </c>
      <c r="N82" s="438">
        <f t="shared" si="19"/>
        <v>11387</v>
      </c>
      <c r="O82" s="437">
        <f t="shared" si="19"/>
        <v>0</v>
      </c>
    </row>
    <row r="83" spans="1:15" ht="13.8" x14ac:dyDescent="0.25">
      <c r="A83" s="567"/>
      <c r="B83" s="513"/>
      <c r="C83" s="575" t="s">
        <v>556</v>
      </c>
      <c r="D83" s="439">
        <v>44410</v>
      </c>
      <c r="E83" s="438">
        <v>44410</v>
      </c>
      <c r="F83" s="438"/>
      <c r="G83" s="437"/>
      <c r="H83" s="439"/>
      <c r="I83" s="438"/>
      <c r="J83" s="438"/>
      <c r="K83" s="437"/>
      <c r="L83" s="439">
        <f t="shared" si="19"/>
        <v>44410</v>
      </c>
      <c r="M83" s="438">
        <f t="shared" si="19"/>
        <v>44410</v>
      </c>
      <c r="N83" s="438">
        <f t="shared" si="19"/>
        <v>0</v>
      </c>
      <c r="O83" s="437">
        <f t="shared" si="19"/>
        <v>0</v>
      </c>
    </row>
    <row r="84" spans="1:15" ht="13.8" x14ac:dyDescent="0.25">
      <c r="A84" s="567"/>
      <c r="B84" s="513"/>
      <c r="C84" s="563" t="s">
        <v>753</v>
      </c>
      <c r="D84" s="439">
        <v>2845</v>
      </c>
      <c r="E84" s="438">
        <v>2845</v>
      </c>
      <c r="F84" s="438"/>
      <c r="G84" s="437"/>
      <c r="H84" s="439"/>
      <c r="I84" s="438"/>
      <c r="J84" s="438"/>
      <c r="K84" s="437"/>
      <c r="L84" s="439">
        <f t="shared" si="19"/>
        <v>2845</v>
      </c>
      <c r="M84" s="438">
        <f t="shared" si="19"/>
        <v>2845</v>
      </c>
      <c r="N84" s="438">
        <f t="shared" si="19"/>
        <v>0</v>
      </c>
      <c r="O84" s="437">
        <f t="shared" si="19"/>
        <v>0</v>
      </c>
    </row>
    <row r="85" spans="1:15" ht="13.8" x14ac:dyDescent="0.25">
      <c r="A85" s="567"/>
      <c r="B85" s="513"/>
      <c r="C85" s="575" t="s">
        <v>1059</v>
      </c>
      <c r="D85" s="439"/>
      <c r="E85" s="438"/>
      <c r="F85" s="438"/>
      <c r="G85" s="437"/>
      <c r="H85" s="439">
        <v>31125</v>
      </c>
      <c r="I85" s="438">
        <v>31125</v>
      </c>
      <c r="J85" s="438"/>
      <c r="K85" s="437"/>
      <c r="L85" s="439">
        <f t="shared" si="19"/>
        <v>31125</v>
      </c>
      <c r="M85" s="438">
        <f t="shared" si="19"/>
        <v>31125</v>
      </c>
      <c r="N85" s="438">
        <f t="shared" si="19"/>
        <v>0</v>
      </c>
      <c r="O85" s="437">
        <f t="shared" si="19"/>
        <v>0</v>
      </c>
    </row>
    <row r="86" spans="1:15" ht="13.8" x14ac:dyDescent="0.25">
      <c r="A86" s="567"/>
      <c r="B86" s="513"/>
      <c r="C86" s="575"/>
      <c r="D86" s="439"/>
      <c r="E86" s="438"/>
      <c r="F86" s="438"/>
      <c r="G86" s="437"/>
      <c r="H86" s="439"/>
      <c r="I86" s="438"/>
      <c r="J86" s="438"/>
      <c r="K86" s="437"/>
      <c r="L86" s="439"/>
      <c r="M86" s="438"/>
      <c r="N86" s="438"/>
      <c r="O86" s="437"/>
    </row>
    <row r="87" spans="1:15" ht="14.4" x14ac:dyDescent="0.3">
      <c r="A87" s="567"/>
      <c r="B87" s="513"/>
      <c r="C87" s="577" t="s">
        <v>34</v>
      </c>
      <c r="D87" s="578">
        <f t="shared" ref="D87:K87" si="20">SUM(D80:D86)</f>
        <v>119738</v>
      </c>
      <c r="E87" s="501">
        <f t="shared" si="20"/>
        <v>108351</v>
      </c>
      <c r="F87" s="501">
        <f t="shared" si="20"/>
        <v>11387</v>
      </c>
      <c r="G87" s="579">
        <f t="shared" si="20"/>
        <v>0</v>
      </c>
      <c r="H87" s="578">
        <f t="shared" si="20"/>
        <v>31125</v>
      </c>
      <c r="I87" s="501">
        <f t="shared" si="20"/>
        <v>31125</v>
      </c>
      <c r="J87" s="501">
        <f t="shared" si="20"/>
        <v>0</v>
      </c>
      <c r="K87" s="579">
        <f t="shared" si="20"/>
        <v>0</v>
      </c>
      <c r="L87" s="578">
        <f t="shared" si="19"/>
        <v>150863</v>
      </c>
      <c r="M87" s="501">
        <f t="shared" si="19"/>
        <v>139476</v>
      </c>
      <c r="N87" s="501">
        <f t="shared" si="19"/>
        <v>11387</v>
      </c>
      <c r="O87" s="579">
        <f t="shared" si="19"/>
        <v>0</v>
      </c>
    </row>
    <row r="88" spans="1:15" ht="14.4" x14ac:dyDescent="0.3">
      <c r="A88" s="567"/>
      <c r="B88" s="513"/>
      <c r="C88" s="577"/>
      <c r="D88" s="578"/>
      <c r="E88" s="501"/>
      <c r="F88" s="501"/>
      <c r="G88" s="579"/>
      <c r="H88" s="578"/>
      <c r="I88" s="501"/>
      <c r="J88" s="501"/>
      <c r="K88" s="579"/>
      <c r="L88" s="578"/>
      <c r="M88" s="501"/>
      <c r="N88" s="501"/>
      <c r="O88" s="579"/>
    </row>
    <row r="89" spans="1:15" ht="14.4" x14ac:dyDescent="0.3">
      <c r="A89" s="567"/>
      <c r="B89" s="513" t="s">
        <v>13</v>
      </c>
      <c r="C89" s="563" t="s">
        <v>55</v>
      </c>
      <c r="D89" s="578"/>
      <c r="E89" s="501"/>
      <c r="F89" s="501"/>
      <c r="G89" s="579"/>
      <c r="H89" s="578"/>
      <c r="I89" s="501"/>
      <c r="J89" s="501"/>
      <c r="K89" s="579"/>
      <c r="L89" s="578"/>
      <c r="M89" s="501"/>
      <c r="N89" s="501"/>
      <c r="O89" s="579"/>
    </row>
    <row r="90" spans="1:15" ht="13.8" x14ac:dyDescent="0.25">
      <c r="A90" s="567"/>
      <c r="B90" s="513"/>
      <c r="C90" s="563" t="s">
        <v>554</v>
      </c>
      <c r="D90" s="439">
        <v>4344</v>
      </c>
      <c r="E90" s="438">
        <v>4344</v>
      </c>
      <c r="F90" s="438"/>
      <c r="G90" s="437"/>
      <c r="H90" s="439"/>
      <c r="I90" s="438"/>
      <c r="J90" s="438"/>
      <c r="K90" s="437"/>
      <c r="L90" s="439">
        <f t="shared" si="19"/>
        <v>4344</v>
      </c>
      <c r="M90" s="438">
        <f t="shared" si="19"/>
        <v>4344</v>
      </c>
      <c r="N90" s="438">
        <f t="shared" si="19"/>
        <v>0</v>
      </c>
      <c r="O90" s="437">
        <f t="shared" si="19"/>
        <v>0</v>
      </c>
    </row>
    <row r="91" spans="1:15" ht="13.8" x14ac:dyDescent="0.25">
      <c r="A91" s="567"/>
      <c r="B91" s="513"/>
      <c r="C91" s="575" t="s">
        <v>723</v>
      </c>
      <c r="D91" s="439">
        <v>3532</v>
      </c>
      <c r="E91" s="438">
        <v>3532</v>
      </c>
      <c r="F91" s="438"/>
      <c r="G91" s="437"/>
      <c r="H91" s="439"/>
      <c r="I91" s="438"/>
      <c r="J91" s="438"/>
      <c r="K91" s="437"/>
      <c r="L91" s="439">
        <f t="shared" si="19"/>
        <v>3532</v>
      </c>
      <c r="M91" s="438">
        <f t="shared" si="19"/>
        <v>3532</v>
      </c>
      <c r="N91" s="438">
        <f t="shared" si="19"/>
        <v>0</v>
      </c>
      <c r="O91" s="437">
        <f t="shared" si="19"/>
        <v>0</v>
      </c>
    </row>
    <row r="92" spans="1:15" ht="13.8" x14ac:dyDescent="0.25">
      <c r="A92" s="567"/>
      <c r="B92" s="513"/>
      <c r="C92" s="575" t="s">
        <v>555</v>
      </c>
      <c r="D92" s="439">
        <v>1442</v>
      </c>
      <c r="E92" s="438"/>
      <c r="F92" s="438">
        <v>1442</v>
      </c>
      <c r="G92" s="437"/>
      <c r="H92" s="439"/>
      <c r="I92" s="438"/>
      <c r="J92" s="438"/>
      <c r="K92" s="437"/>
      <c r="L92" s="439">
        <f t="shared" si="19"/>
        <v>1442</v>
      </c>
      <c r="M92" s="438">
        <f t="shared" si="19"/>
        <v>0</v>
      </c>
      <c r="N92" s="438">
        <f t="shared" si="19"/>
        <v>1442</v>
      </c>
      <c r="O92" s="437">
        <f t="shared" si="19"/>
        <v>0</v>
      </c>
    </row>
    <row r="93" spans="1:15" ht="13.8" x14ac:dyDescent="0.25">
      <c r="A93" s="567"/>
      <c r="B93" s="513"/>
      <c r="C93" s="575" t="s">
        <v>557</v>
      </c>
      <c r="D93" s="439">
        <v>6668</v>
      </c>
      <c r="E93" s="438">
        <v>6668</v>
      </c>
      <c r="F93" s="438"/>
      <c r="G93" s="437"/>
      <c r="H93" s="439"/>
      <c r="I93" s="438"/>
      <c r="J93" s="438"/>
      <c r="K93" s="437"/>
      <c r="L93" s="439">
        <f t="shared" si="19"/>
        <v>6668</v>
      </c>
      <c r="M93" s="438">
        <f t="shared" si="19"/>
        <v>6668</v>
      </c>
      <c r="N93" s="438">
        <f t="shared" si="19"/>
        <v>0</v>
      </c>
      <c r="O93" s="437">
        <f t="shared" si="19"/>
        <v>0</v>
      </c>
    </row>
    <row r="94" spans="1:15" ht="13.8" x14ac:dyDescent="0.25">
      <c r="A94" s="567"/>
      <c r="B94" s="513"/>
      <c r="C94" s="563" t="s">
        <v>753</v>
      </c>
      <c r="D94" s="439">
        <v>555</v>
      </c>
      <c r="E94" s="438">
        <v>555</v>
      </c>
      <c r="F94" s="438"/>
      <c r="G94" s="437"/>
      <c r="H94" s="439"/>
      <c r="I94" s="438"/>
      <c r="J94" s="438"/>
      <c r="K94" s="437"/>
      <c r="L94" s="439">
        <f t="shared" si="19"/>
        <v>555</v>
      </c>
      <c r="M94" s="438">
        <f t="shared" si="19"/>
        <v>555</v>
      </c>
      <c r="N94" s="438">
        <f t="shared" si="19"/>
        <v>0</v>
      </c>
      <c r="O94" s="437">
        <f t="shared" si="19"/>
        <v>0</v>
      </c>
    </row>
    <row r="95" spans="1:15" ht="13.8" x14ac:dyDescent="0.25">
      <c r="A95" s="567"/>
      <c r="B95" s="513"/>
      <c r="C95" s="575" t="s">
        <v>1059</v>
      </c>
      <c r="D95" s="439"/>
      <c r="E95" s="438"/>
      <c r="F95" s="438"/>
      <c r="G95" s="437"/>
      <c r="H95" s="439">
        <v>3704</v>
      </c>
      <c r="I95" s="438">
        <v>3704</v>
      </c>
      <c r="J95" s="438"/>
      <c r="K95" s="437"/>
      <c r="L95" s="439">
        <f t="shared" si="19"/>
        <v>3704</v>
      </c>
      <c r="M95" s="438">
        <f t="shared" si="19"/>
        <v>3704</v>
      </c>
      <c r="N95" s="438">
        <f t="shared" si="19"/>
        <v>0</v>
      </c>
      <c r="O95" s="437">
        <f t="shared" si="19"/>
        <v>0</v>
      </c>
    </row>
    <row r="96" spans="1:15" ht="13.8" x14ac:dyDescent="0.25">
      <c r="A96" s="567"/>
      <c r="B96" s="513"/>
      <c r="C96" s="575"/>
      <c r="D96" s="439"/>
      <c r="E96" s="438"/>
      <c r="F96" s="438"/>
      <c r="G96" s="437"/>
      <c r="H96" s="439"/>
      <c r="I96" s="438"/>
      <c r="J96" s="438"/>
      <c r="K96" s="437"/>
      <c r="L96" s="439"/>
      <c r="M96" s="438"/>
      <c r="N96" s="438"/>
      <c r="O96" s="437"/>
    </row>
    <row r="97" spans="1:15" ht="14.4" x14ac:dyDescent="0.3">
      <c r="A97" s="567"/>
      <c r="B97" s="513"/>
      <c r="C97" s="577" t="s">
        <v>35</v>
      </c>
      <c r="D97" s="578">
        <f t="shared" ref="D97:K97" si="21">SUM(D90:D96)</f>
        <v>16541</v>
      </c>
      <c r="E97" s="501">
        <f t="shared" si="21"/>
        <v>15099</v>
      </c>
      <c r="F97" s="501">
        <f t="shared" si="21"/>
        <v>1442</v>
      </c>
      <c r="G97" s="579">
        <f t="shared" si="21"/>
        <v>0</v>
      </c>
      <c r="H97" s="578">
        <f t="shared" si="21"/>
        <v>3704</v>
      </c>
      <c r="I97" s="501">
        <f t="shared" si="21"/>
        <v>3704</v>
      </c>
      <c r="J97" s="501">
        <f t="shared" si="21"/>
        <v>0</v>
      </c>
      <c r="K97" s="579">
        <f t="shared" si="21"/>
        <v>0</v>
      </c>
      <c r="L97" s="578">
        <f t="shared" si="19"/>
        <v>20245</v>
      </c>
      <c r="M97" s="501">
        <f t="shared" si="19"/>
        <v>18803</v>
      </c>
      <c r="N97" s="501">
        <f t="shared" si="19"/>
        <v>1442</v>
      </c>
      <c r="O97" s="579">
        <f t="shared" si="19"/>
        <v>0</v>
      </c>
    </row>
    <row r="98" spans="1:15" ht="14.4" x14ac:dyDescent="0.3">
      <c r="A98" s="567"/>
      <c r="B98" s="513"/>
      <c r="C98" s="577"/>
      <c r="D98" s="578"/>
      <c r="E98" s="501"/>
      <c r="F98" s="501"/>
      <c r="G98" s="579"/>
      <c r="H98" s="578"/>
      <c r="I98" s="501"/>
      <c r="J98" s="501"/>
      <c r="K98" s="579"/>
      <c r="L98" s="578"/>
      <c r="M98" s="501"/>
      <c r="N98" s="501"/>
      <c r="O98" s="579"/>
    </row>
    <row r="99" spans="1:15" ht="14.4" x14ac:dyDescent="0.3">
      <c r="A99" s="567"/>
      <c r="B99" s="513" t="s">
        <v>14</v>
      </c>
      <c r="C99" s="563" t="s">
        <v>27</v>
      </c>
      <c r="D99" s="578"/>
      <c r="E99" s="501"/>
      <c r="F99" s="501"/>
      <c r="G99" s="579"/>
      <c r="H99" s="578"/>
      <c r="I99" s="501"/>
      <c r="J99" s="501"/>
      <c r="K99" s="579"/>
      <c r="L99" s="578"/>
      <c r="M99" s="501"/>
      <c r="N99" s="501"/>
      <c r="O99" s="579"/>
    </row>
    <row r="100" spans="1:15" ht="13.8" x14ac:dyDescent="0.25">
      <c r="A100" s="567"/>
      <c r="B100" s="488"/>
      <c r="C100" s="563" t="s">
        <v>32</v>
      </c>
      <c r="D100" s="439">
        <v>2000</v>
      </c>
      <c r="E100" s="438"/>
      <c r="F100" s="438">
        <v>2000</v>
      </c>
      <c r="G100" s="437"/>
      <c r="H100" s="439"/>
      <c r="I100" s="438"/>
      <c r="J100" s="438"/>
      <c r="K100" s="437"/>
      <c r="L100" s="439">
        <f t="shared" si="19"/>
        <v>2000</v>
      </c>
      <c r="M100" s="438">
        <f t="shared" si="19"/>
        <v>0</v>
      </c>
      <c r="N100" s="438">
        <f t="shared" si="19"/>
        <v>2000</v>
      </c>
      <c r="O100" s="437">
        <f t="shared" si="19"/>
        <v>0</v>
      </c>
    </row>
    <row r="101" spans="1:15" ht="13.8" x14ac:dyDescent="0.25">
      <c r="A101" s="567"/>
      <c r="B101" s="513"/>
      <c r="C101" s="563" t="s">
        <v>84</v>
      </c>
      <c r="D101" s="439">
        <v>2400</v>
      </c>
      <c r="E101" s="438">
        <v>2400</v>
      </c>
      <c r="F101" s="438"/>
      <c r="G101" s="437"/>
      <c r="H101" s="439"/>
      <c r="I101" s="438"/>
      <c r="J101" s="438"/>
      <c r="K101" s="437"/>
      <c r="L101" s="439">
        <f t="shared" si="19"/>
        <v>2400</v>
      </c>
      <c r="M101" s="438">
        <f t="shared" si="19"/>
        <v>2400</v>
      </c>
      <c r="N101" s="438">
        <f t="shared" si="19"/>
        <v>0</v>
      </c>
      <c r="O101" s="437">
        <f t="shared" si="19"/>
        <v>0</v>
      </c>
    </row>
    <row r="102" spans="1:15" ht="13.8" x14ac:dyDescent="0.25">
      <c r="A102" s="567"/>
      <c r="B102" s="513"/>
      <c r="C102" s="563" t="s">
        <v>128</v>
      </c>
      <c r="D102" s="439">
        <v>1350</v>
      </c>
      <c r="E102" s="438">
        <v>1350</v>
      </c>
      <c r="F102" s="438"/>
      <c r="G102" s="437"/>
      <c r="H102" s="439"/>
      <c r="I102" s="438"/>
      <c r="J102" s="438"/>
      <c r="K102" s="437"/>
      <c r="L102" s="439">
        <f t="shared" si="19"/>
        <v>1350</v>
      </c>
      <c r="M102" s="438">
        <f t="shared" si="19"/>
        <v>1350</v>
      </c>
      <c r="N102" s="438">
        <f t="shared" si="19"/>
        <v>0</v>
      </c>
      <c r="O102" s="437">
        <f t="shared" si="19"/>
        <v>0</v>
      </c>
    </row>
    <row r="103" spans="1:15" ht="13.8" x14ac:dyDescent="0.25">
      <c r="A103" s="567"/>
      <c r="B103" s="513"/>
      <c r="C103" s="563" t="s">
        <v>129</v>
      </c>
      <c r="D103" s="439">
        <v>1700</v>
      </c>
      <c r="E103" s="438">
        <v>1700</v>
      </c>
      <c r="F103" s="438"/>
      <c r="G103" s="437"/>
      <c r="H103" s="439"/>
      <c r="I103" s="438"/>
      <c r="J103" s="438"/>
      <c r="K103" s="437"/>
      <c r="L103" s="439">
        <f t="shared" si="19"/>
        <v>1700</v>
      </c>
      <c r="M103" s="438">
        <f t="shared" si="19"/>
        <v>1700</v>
      </c>
      <c r="N103" s="438">
        <f t="shared" si="19"/>
        <v>0</v>
      </c>
      <c r="O103" s="437">
        <f t="shared" si="19"/>
        <v>0</v>
      </c>
    </row>
    <row r="104" spans="1:15" ht="13.8" x14ac:dyDescent="0.25">
      <c r="A104" s="567"/>
      <c r="B104" s="513"/>
      <c r="C104" s="563" t="s">
        <v>130</v>
      </c>
      <c r="D104" s="439">
        <v>15000</v>
      </c>
      <c r="E104" s="438">
        <v>15000</v>
      </c>
      <c r="F104" s="438"/>
      <c r="G104" s="437"/>
      <c r="H104" s="439"/>
      <c r="I104" s="438"/>
      <c r="J104" s="438"/>
      <c r="K104" s="437"/>
      <c r="L104" s="439">
        <f t="shared" si="19"/>
        <v>15000</v>
      </c>
      <c r="M104" s="438">
        <f t="shared" si="19"/>
        <v>15000</v>
      </c>
      <c r="N104" s="438">
        <f t="shared" si="19"/>
        <v>0</v>
      </c>
      <c r="O104" s="437">
        <f t="shared" si="19"/>
        <v>0</v>
      </c>
    </row>
    <row r="105" spans="1:15" ht="13.8" x14ac:dyDescent="0.25">
      <c r="A105" s="567"/>
      <c r="B105" s="513"/>
      <c r="C105" s="563" t="s">
        <v>484</v>
      </c>
      <c r="D105" s="439">
        <v>30000</v>
      </c>
      <c r="E105" s="438">
        <v>30000</v>
      </c>
      <c r="F105" s="438"/>
      <c r="G105" s="437"/>
      <c r="H105" s="439"/>
      <c r="I105" s="438"/>
      <c r="J105" s="438"/>
      <c r="K105" s="437"/>
      <c r="L105" s="439">
        <f t="shared" si="19"/>
        <v>30000</v>
      </c>
      <c r="M105" s="438">
        <f t="shared" si="19"/>
        <v>30000</v>
      </c>
      <c r="N105" s="438">
        <f t="shared" si="19"/>
        <v>0</v>
      </c>
      <c r="O105" s="437">
        <f t="shared" si="19"/>
        <v>0</v>
      </c>
    </row>
    <row r="106" spans="1:15" ht="13.8" x14ac:dyDescent="0.25">
      <c r="A106" s="567"/>
      <c r="B106" s="513"/>
      <c r="C106" s="563" t="s">
        <v>755</v>
      </c>
      <c r="D106" s="439">
        <v>5000</v>
      </c>
      <c r="E106" s="438">
        <v>5000</v>
      </c>
      <c r="F106" s="438"/>
      <c r="G106" s="437"/>
      <c r="H106" s="439"/>
      <c r="I106" s="438"/>
      <c r="J106" s="438"/>
      <c r="K106" s="437"/>
      <c r="L106" s="439">
        <f t="shared" si="19"/>
        <v>5000</v>
      </c>
      <c r="M106" s="438">
        <f t="shared" si="19"/>
        <v>5000</v>
      </c>
      <c r="N106" s="438">
        <f t="shared" si="19"/>
        <v>0</v>
      </c>
      <c r="O106" s="437">
        <f t="shared" si="19"/>
        <v>0</v>
      </c>
    </row>
    <row r="107" spans="1:15" ht="13.8" x14ac:dyDescent="0.25">
      <c r="A107" s="567"/>
      <c r="B107" s="513"/>
      <c r="C107" s="563" t="s">
        <v>754</v>
      </c>
      <c r="D107" s="439">
        <v>6000</v>
      </c>
      <c r="E107" s="438">
        <v>6000</v>
      </c>
      <c r="F107" s="438"/>
      <c r="G107" s="437"/>
      <c r="H107" s="439"/>
      <c r="I107" s="438"/>
      <c r="J107" s="438"/>
      <c r="K107" s="437"/>
      <c r="L107" s="439">
        <f t="shared" si="19"/>
        <v>6000</v>
      </c>
      <c r="M107" s="438">
        <f t="shared" si="19"/>
        <v>6000</v>
      </c>
      <c r="N107" s="438">
        <f t="shared" si="19"/>
        <v>0</v>
      </c>
      <c r="O107" s="437">
        <f t="shared" si="19"/>
        <v>0</v>
      </c>
    </row>
    <row r="108" spans="1:15" ht="13.8" x14ac:dyDescent="0.25">
      <c r="A108" s="442"/>
      <c r="B108" s="576"/>
      <c r="C108" s="563" t="s">
        <v>756</v>
      </c>
      <c r="D108" s="439">
        <v>6000</v>
      </c>
      <c r="E108" s="438">
        <v>6000</v>
      </c>
      <c r="F108" s="438"/>
      <c r="G108" s="437"/>
      <c r="H108" s="439"/>
      <c r="I108" s="438"/>
      <c r="J108" s="438"/>
      <c r="K108" s="437"/>
      <c r="L108" s="439">
        <f t="shared" si="19"/>
        <v>6000</v>
      </c>
      <c r="M108" s="438">
        <f t="shared" si="19"/>
        <v>6000</v>
      </c>
      <c r="N108" s="438">
        <f t="shared" si="19"/>
        <v>0</v>
      </c>
      <c r="O108" s="437">
        <f t="shared" si="19"/>
        <v>0</v>
      </c>
    </row>
    <row r="109" spans="1:15" ht="13.8" x14ac:dyDescent="0.25">
      <c r="A109" s="567"/>
      <c r="B109" s="513"/>
      <c r="C109" s="563" t="s">
        <v>757</v>
      </c>
      <c r="D109" s="439">
        <v>40000</v>
      </c>
      <c r="E109" s="438">
        <v>40000</v>
      </c>
      <c r="F109" s="438"/>
      <c r="G109" s="437"/>
      <c r="H109" s="439"/>
      <c r="I109" s="438"/>
      <c r="J109" s="438"/>
      <c r="K109" s="437"/>
      <c r="L109" s="439">
        <f t="shared" si="19"/>
        <v>40000</v>
      </c>
      <c r="M109" s="438">
        <f t="shared" si="19"/>
        <v>40000</v>
      </c>
      <c r="N109" s="438">
        <f t="shared" si="19"/>
        <v>0</v>
      </c>
      <c r="O109" s="437">
        <f t="shared" si="19"/>
        <v>0</v>
      </c>
    </row>
    <row r="110" spans="1:15" ht="13.8" x14ac:dyDescent="0.25">
      <c r="A110" s="567"/>
      <c r="B110" s="513"/>
      <c r="C110" s="563" t="s">
        <v>758</v>
      </c>
      <c r="D110" s="439">
        <v>20000</v>
      </c>
      <c r="E110" s="438">
        <v>20000</v>
      </c>
      <c r="F110" s="438"/>
      <c r="G110" s="437"/>
      <c r="H110" s="439"/>
      <c r="I110" s="438"/>
      <c r="J110" s="438"/>
      <c r="K110" s="437"/>
      <c r="L110" s="439">
        <f t="shared" si="19"/>
        <v>20000</v>
      </c>
      <c r="M110" s="438">
        <f t="shared" si="19"/>
        <v>20000</v>
      </c>
      <c r="N110" s="438">
        <f t="shared" si="19"/>
        <v>0</v>
      </c>
      <c r="O110" s="437">
        <f t="shared" si="19"/>
        <v>0</v>
      </c>
    </row>
    <row r="111" spans="1:15" ht="27.6" x14ac:dyDescent="0.25">
      <c r="A111" s="567"/>
      <c r="B111" s="513"/>
      <c r="C111" s="575" t="s">
        <v>759</v>
      </c>
      <c r="D111" s="439">
        <v>15000</v>
      </c>
      <c r="E111" s="438">
        <v>15000</v>
      </c>
      <c r="F111" s="438"/>
      <c r="G111" s="437"/>
      <c r="H111" s="439"/>
      <c r="I111" s="438"/>
      <c r="J111" s="438"/>
      <c r="K111" s="437"/>
      <c r="L111" s="439">
        <f t="shared" si="19"/>
        <v>15000</v>
      </c>
      <c r="M111" s="438">
        <f t="shared" si="19"/>
        <v>15000</v>
      </c>
      <c r="N111" s="438">
        <f t="shared" si="19"/>
        <v>0</v>
      </c>
      <c r="O111" s="437">
        <f t="shared" si="19"/>
        <v>0</v>
      </c>
    </row>
    <row r="112" spans="1:15" ht="13.8" x14ac:dyDescent="0.25">
      <c r="A112" s="567"/>
      <c r="B112" s="513"/>
      <c r="C112" s="563" t="s">
        <v>760</v>
      </c>
      <c r="D112" s="439">
        <v>300</v>
      </c>
      <c r="E112" s="438">
        <v>300</v>
      </c>
      <c r="F112" s="438"/>
      <c r="G112" s="437"/>
      <c r="H112" s="439"/>
      <c r="I112" s="438"/>
      <c r="J112" s="438"/>
      <c r="K112" s="437"/>
      <c r="L112" s="439">
        <f t="shared" si="19"/>
        <v>300</v>
      </c>
      <c r="M112" s="438">
        <f t="shared" si="19"/>
        <v>300</v>
      </c>
      <c r="N112" s="438">
        <f t="shared" si="19"/>
        <v>0</v>
      </c>
      <c r="O112" s="437">
        <f t="shared" si="19"/>
        <v>0</v>
      </c>
    </row>
    <row r="113" spans="1:15" ht="13.8" x14ac:dyDescent="0.25">
      <c r="A113" s="567"/>
      <c r="B113" s="513"/>
      <c r="C113" s="563" t="s">
        <v>761</v>
      </c>
      <c r="D113" s="439">
        <v>45000</v>
      </c>
      <c r="E113" s="438">
        <v>45000</v>
      </c>
      <c r="F113" s="438"/>
      <c r="G113" s="437"/>
      <c r="H113" s="439"/>
      <c r="I113" s="438"/>
      <c r="J113" s="438"/>
      <c r="K113" s="437"/>
      <c r="L113" s="439">
        <f t="shared" si="19"/>
        <v>45000</v>
      </c>
      <c r="M113" s="438">
        <f t="shared" si="19"/>
        <v>45000</v>
      </c>
      <c r="N113" s="438">
        <f t="shared" si="19"/>
        <v>0</v>
      </c>
      <c r="O113" s="437">
        <f t="shared" si="19"/>
        <v>0</v>
      </c>
    </row>
    <row r="114" spans="1:15" ht="13.8" x14ac:dyDescent="0.25">
      <c r="A114" s="567"/>
      <c r="B114" s="513"/>
      <c r="C114" s="563" t="s">
        <v>762</v>
      </c>
      <c r="D114" s="439">
        <v>500</v>
      </c>
      <c r="E114" s="438">
        <v>500</v>
      </c>
      <c r="F114" s="438"/>
      <c r="G114" s="437"/>
      <c r="H114" s="439"/>
      <c r="I114" s="438"/>
      <c r="J114" s="438"/>
      <c r="K114" s="437"/>
      <c r="L114" s="439">
        <f t="shared" si="19"/>
        <v>500</v>
      </c>
      <c r="M114" s="438">
        <f t="shared" si="19"/>
        <v>500</v>
      </c>
      <c r="N114" s="438">
        <f t="shared" si="19"/>
        <v>0</v>
      </c>
      <c r="O114" s="437">
        <f t="shared" si="19"/>
        <v>0</v>
      </c>
    </row>
    <row r="115" spans="1:15" ht="13.8" x14ac:dyDescent="0.25">
      <c r="A115" s="567"/>
      <c r="B115" s="513"/>
      <c r="C115" s="563" t="s">
        <v>763</v>
      </c>
      <c r="D115" s="439">
        <v>500</v>
      </c>
      <c r="E115" s="438">
        <v>500</v>
      </c>
      <c r="F115" s="438"/>
      <c r="G115" s="437"/>
      <c r="H115" s="439"/>
      <c r="I115" s="438"/>
      <c r="J115" s="438"/>
      <c r="K115" s="437"/>
      <c r="L115" s="439">
        <f t="shared" si="19"/>
        <v>500</v>
      </c>
      <c r="M115" s="438">
        <f t="shared" si="19"/>
        <v>500</v>
      </c>
      <c r="N115" s="438">
        <f t="shared" si="19"/>
        <v>0</v>
      </c>
      <c r="O115" s="437">
        <f t="shared" si="19"/>
        <v>0</v>
      </c>
    </row>
    <row r="116" spans="1:15" ht="13.8" x14ac:dyDescent="0.25">
      <c r="A116" s="567"/>
      <c r="B116" s="513"/>
      <c r="C116" s="563" t="s">
        <v>764</v>
      </c>
      <c r="D116" s="439"/>
      <c r="E116" s="438"/>
      <c r="F116" s="438"/>
      <c r="G116" s="437"/>
      <c r="H116" s="439"/>
      <c r="I116" s="438"/>
      <c r="J116" s="438"/>
      <c r="K116" s="437"/>
      <c r="L116" s="439">
        <f t="shared" si="19"/>
        <v>0</v>
      </c>
      <c r="M116" s="438">
        <f t="shared" si="19"/>
        <v>0</v>
      </c>
      <c r="N116" s="438">
        <f t="shared" si="19"/>
        <v>0</v>
      </c>
      <c r="O116" s="437">
        <f t="shared" si="19"/>
        <v>0</v>
      </c>
    </row>
    <row r="117" spans="1:15" ht="13.8" x14ac:dyDescent="0.25">
      <c r="A117" s="567"/>
      <c r="B117" s="513"/>
      <c r="C117" s="563" t="s">
        <v>765</v>
      </c>
      <c r="D117" s="439">
        <v>500</v>
      </c>
      <c r="E117" s="438">
        <v>500</v>
      </c>
      <c r="F117" s="438"/>
      <c r="G117" s="437"/>
      <c r="H117" s="439"/>
      <c r="I117" s="438"/>
      <c r="J117" s="438"/>
      <c r="K117" s="437"/>
      <c r="L117" s="439">
        <f t="shared" si="19"/>
        <v>500</v>
      </c>
      <c r="M117" s="438">
        <f t="shared" si="19"/>
        <v>500</v>
      </c>
      <c r="N117" s="438">
        <f t="shared" si="19"/>
        <v>0</v>
      </c>
      <c r="O117" s="437">
        <f t="shared" si="19"/>
        <v>0</v>
      </c>
    </row>
    <row r="118" spans="1:15" ht="13.8" x14ac:dyDescent="0.25">
      <c r="A118" s="567"/>
      <c r="B118" s="513"/>
      <c r="C118" s="563" t="s">
        <v>766</v>
      </c>
      <c r="D118" s="439">
        <v>8000</v>
      </c>
      <c r="E118" s="438">
        <v>8000</v>
      </c>
      <c r="F118" s="438"/>
      <c r="G118" s="437"/>
      <c r="H118" s="439"/>
      <c r="I118" s="438"/>
      <c r="J118" s="438"/>
      <c r="K118" s="437"/>
      <c r="L118" s="439">
        <f t="shared" si="19"/>
        <v>8000</v>
      </c>
      <c r="M118" s="438">
        <f t="shared" si="19"/>
        <v>8000</v>
      </c>
      <c r="N118" s="438">
        <f t="shared" si="19"/>
        <v>0</v>
      </c>
      <c r="O118" s="437">
        <f t="shared" si="19"/>
        <v>0</v>
      </c>
    </row>
    <row r="119" spans="1:15" ht="13.8" x14ac:dyDescent="0.25">
      <c r="A119" s="567"/>
      <c r="B119" s="513"/>
      <c r="C119" s="563" t="s">
        <v>767</v>
      </c>
      <c r="D119" s="439">
        <v>13374</v>
      </c>
      <c r="E119" s="438">
        <v>13374</v>
      </c>
      <c r="F119" s="438"/>
      <c r="G119" s="437"/>
      <c r="H119" s="439">
        <v>3833</v>
      </c>
      <c r="I119" s="438">
        <v>3833</v>
      </c>
      <c r="J119" s="438"/>
      <c r="K119" s="437"/>
      <c r="L119" s="439">
        <f t="shared" si="19"/>
        <v>17207</v>
      </c>
      <c r="M119" s="438">
        <f t="shared" si="19"/>
        <v>17207</v>
      </c>
      <c r="N119" s="438">
        <f t="shared" si="19"/>
        <v>0</v>
      </c>
      <c r="O119" s="437">
        <f t="shared" si="19"/>
        <v>0</v>
      </c>
    </row>
    <row r="120" spans="1:15" ht="13.8" x14ac:dyDescent="0.25">
      <c r="A120" s="567"/>
      <c r="B120" s="513"/>
      <c r="C120" s="575" t="s">
        <v>768</v>
      </c>
      <c r="D120" s="452">
        <v>2000</v>
      </c>
      <c r="E120" s="451"/>
      <c r="F120" s="451">
        <v>2000</v>
      </c>
      <c r="G120" s="450"/>
      <c r="H120" s="452"/>
      <c r="I120" s="451"/>
      <c r="J120" s="451"/>
      <c r="K120" s="450"/>
      <c r="L120" s="452">
        <f t="shared" si="19"/>
        <v>2000</v>
      </c>
      <c r="M120" s="451">
        <f t="shared" si="19"/>
        <v>0</v>
      </c>
      <c r="N120" s="451">
        <f t="shared" si="19"/>
        <v>2000</v>
      </c>
      <c r="O120" s="450">
        <f t="shared" si="19"/>
        <v>0</v>
      </c>
    </row>
    <row r="121" spans="1:15" ht="13.8" x14ac:dyDescent="0.25">
      <c r="A121" s="567"/>
      <c r="B121" s="513"/>
      <c r="C121" s="575" t="s">
        <v>769</v>
      </c>
      <c r="D121" s="452">
        <v>20000</v>
      </c>
      <c r="E121" s="451"/>
      <c r="F121" s="451">
        <v>20000</v>
      </c>
      <c r="G121" s="450"/>
      <c r="H121" s="452"/>
      <c r="I121" s="451"/>
      <c r="J121" s="451"/>
      <c r="K121" s="450"/>
      <c r="L121" s="452">
        <f t="shared" si="19"/>
        <v>20000</v>
      </c>
      <c r="M121" s="451">
        <f t="shared" si="19"/>
        <v>0</v>
      </c>
      <c r="N121" s="451">
        <f t="shared" si="19"/>
        <v>20000</v>
      </c>
      <c r="O121" s="450">
        <f t="shared" si="19"/>
        <v>0</v>
      </c>
    </row>
    <row r="122" spans="1:15" ht="27.6" x14ac:dyDescent="0.25">
      <c r="A122" s="567"/>
      <c r="B122" s="513"/>
      <c r="C122" s="575" t="s">
        <v>614</v>
      </c>
      <c r="D122" s="452">
        <v>1000</v>
      </c>
      <c r="E122" s="451"/>
      <c r="F122" s="451">
        <v>1000</v>
      </c>
      <c r="G122" s="450"/>
      <c r="H122" s="452"/>
      <c r="I122" s="451"/>
      <c r="J122" s="451"/>
      <c r="K122" s="450"/>
      <c r="L122" s="452">
        <f t="shared" si="19"/>
        <v>1000</v>
      </c>
      <c r="M122" s="451">
        <f t="shared" si="19"/>
        <v>0</v>
      </c>
      <c r="N122" s="451">
        <f t="shared" si="19"/>
        <v>1000</v>
      </c>
      <c r="O122" s="450">
        <f t="shared" si="19"/>
        <v>0</v>
      </c>
    </row>
    <row r="123" spans="1:15" ht="13.8" x14ac:dyDescent="0.25">
      <c r="A123" s="567"/>
      <c r="B123" s="513"/>
      <c r="C123" s="575" t="s">
        <v>770</v>
      </c>
      <c r="D123" s="452">
        <v>28000</v>
      </c>
      <c r="E123" s="451">
        <v>28000</v>
      </c>
      <c r="F123" s="451"/>
      <c r="G123" s="450"/>
      <c r="H123" s="452"/>
      <c r="I123" s="451"/>
      <c r="J123" s="451"/>
      <c r="K123" s="450"/>
      <c r="L123" s="452">
        <f t="shared" si="19"/>
        <v>28000</v>
      </c>
      <c r="M123" s="451">
        <f t="shared" si="19"/>
        <v>28000</v>
      </c>
      <c r="N123" s="451">
        <f t="shared" si="19"/>
        <v>0</v>
      </c>
      <c r="O123" s="450">
        <f t="shared" si="19"/>
        <v>0</v>
      </c>
    </row>
    <row r="124" spans="1:15" ht="13.8" x14ac:dyDescent="0.25">
      <c r="A124" s="442"/>
      <c r="B124" s="576"/>
      <c r="C124" s="563" t="s">
        <v>771</v>
      </c>
      <c r="D124" s="439">
        <v>1000</v>
      </c>
      <c r="E124" s="438">
        <v>1000</v>
      </c>
      <c r="F124" s="438"/>
      <c r="G124" s="437"/>
      <c r="H124" s="439"/>
      <c r="I124" s="438"/>
      <c r="J124" s="438"/>
      <c r="K124" s="437"/>
      <c r="L124" s="439">
        <f t="shared" si="19"/>
        <v>1000</v>
      </c>
      <c r="M124" s="438">
        <f t="shared" si="19"/>
        <v>1000</v>
      </c>
      <c r="N124" s="438">
        <f t="shared" si="19"/>
        <v>0</v>
      </c>
      <c r="O124" s="437">
        <f t="shared" si="19"/>
        <v>0</v>
      </c>
    </row>
    <row r="125" spans="1:15" ht="13.8" x14ac:dyDescent="0.25">
      <c r="A125" s="567"/>
      <c r="B125" s="513"/>
      <c r="C125" s="575" t="s">
        <v>772</v>
      </c>
      <c r="D125" s="452">
        <v>72000</v>
      </c>
      <c r="E125" s="451"/>
      <c r="F125" s="451">
        <v>72000</v>
      </c>
      <c r="G125" s="450"/>
      <c r="H125" s="452">
        <v>16160</v>
      </c>
      <c r="I125" s="451"/>
      <c r="J125" s="451">
        <v>16160</v>
      </c>
      <c r="K125" s="450"/>
      <c r="L125" s="452">
        <f t="shared" si="19"/>
        <v>88160</v>
      </c>
      <c r="M125" s="451">
        <f t="shared" si="19"/>
        <v>0</v>
      </c>
      <c r="N125" s="451">
        <f t="shared" si="19"/>
        <v>88160</v>
      </c>
      <c r="O125" s="450">
        <f t="shared" si="19"/>
        <v>0</v>
      </c>
    </row>
    <row r="126" spans="1:15" ht="13.8" x14ac:dyDescent="0.25">
      <c r="A126" s="567"/>
      <c r="B126" s="513"/>
      <c r="C126" s="575" t="s">
        <v>773</v>
      </c>
      <c r="D126" s="452">
        <v>14000</v>
      </c>
      <c r="E126" s="451"/>
      <c r="F126" s="451">
        <v>14000</v>
      </c>
      <c r="G126" s="450"/>
      <c r="H126" s="452"/>
      <c r="I126" s="451"/>
      <c r="J126" s="451"/>
      <c r="K126" s="450"/>
      <c r="L126" s="452">
        <f t="shared" si="19"/>
        <v>14000</v>
      </c>
      <c r="M126" s="451">
        <f t="shared" si="19"/>
        <v>0</v>
      </c>
      <c r="N126" s="451">
        <f t="shared" si="19"/>
        <v>14000</v>
      </c>
      <c r="O126" s="450">
        <f t="shared" si="19"/>
        <v>0</v>
      </c>
    </row>
    <row r="127" spans="1:15" ht="13.8" x14ac:dyDescent="0.25">
      <c r="A127" s="567"/>
      <c r="B127" s="513"/>
      <c r="C127" s="575" t="s">
        <v>774</v>
      </c>
      <c r="D127" s="452"/>
      <c r="E127" s="451"/>
      <c r="F127" s="451"/>
      <c r="G127" s="450"/>
      <c r="H127" s="452"/>
      <c r="I127" s="451"/>
      <c r="J127" s="451"/>
      <c r="K127" s="450"/>
      <c r="L127" s="452">
        <f t="shared" si="19"/>
        <v>0</v>
      </c>
      <c r="M127" s="451">
        <f t="shared" si="19"/>
        <v>0</v>
      </c>
      <c r="N127" s="451">
        <f t="shared" si="19"/>
        <v>0</v>
      </c>
      <c r="O127" s="450">
        <f t="shared" si="19"/>
        <v>0</v>
      </c>
    </row>
    <row r="128" spans="1:15" ht="13.8" x14ac:dyDescent="0.25">
      <c r="A128" s="567"/>
      <c r="B128" s="513"/>
      <c r="C128" s="575" t="s">
        <v>775</v>
      </c>
      <c r="D128" s="452">
        <v>600</v>
      </c>
      <c r="E128" s="451"/>
      <c r="F128" s="451">
        <v>600</v>
      </c>
      <c r="G128" s="450"/>
      <c r="H128" s="452"/>
      <c r="I128" s="451"/>
      <c r="J128" s="451"/>
      <c r="K128" s="450"/>
      <c r="L128" s="452">
        <f t="shared" si="19"/>
        <v>600</v>
      </c>
      <c r="M128" s="451">
        <f t="shared" si="19"/>
        <v>0</v>
      </c>
      <c r="N128" s="451">
        <f t="shared" si="19"/>
        <v>600</v>
      </c>
      <c r="O128" s="450">
        <f t="shared" si="19"/>
        <v>0</v>
      </c>
    </row>
    <row r="129" spans="1:15" ht="13.8" x14ac:dyDescent="0.25">
      <c r="A129" s="567"/>
      <c r="B129" s="513"/>
      <c r="C129" s="575" t="s">
        <v>776</v>
      </c>
      <c r="D129" s="452">
        <v>1000</v>
      </c>
      <c r="E129" s="451"/>
      <c r="F129" s="451">
        <v>1000</v>
      </c>
      <c r="G129" s="450"/>
      <c r="H129" s="452"/>
      <c r="I129" s="451"/>
      <c r="J129" s="451"/>
      <c r="K129" s="450"/>
      <c r="L129" s="452">
        <f t="shared" si="19"/>
        <v>1000</v>
      </c>
      <c r="M129" s="451">
        <f t="shared" si="19"/>
        <v>0</v>
      </c>
      <c r="N129" s="451">
        <f t="shared" si="19"/>
        <v>1000</v>
      </c>
      <c r="O129" s="450">
        <f t="shared" si="19"/>
        <v>0</v>
      </c>
    </row>
    <row r="130" spans="1:15" ht="13.8" x14ac:dyDescent="0.25">
      <c r="A130" s="567"/>
      <c r="B130" s="513"/>
      <c r="C130" s="575" t="s">
        <v>777</v>
      </c>
      <c r="D130" s="452">
        <v>15000</v>
      </c>
      <c r="E130" s="451">
        <v>15000</v>
      </c>
      <c r="F130" s="451"/>
      <c r="G130" s="450"/>
      <c r="H130" s="452"/>
      <c r="I130" s="451"/>
      <c r="J130" s="451"/>
      <c r="K130" s="450"/>
      <c r="L130" s="452">
        <f t="shared" si="19"/>
        <v>15000</v>
      </c>
      <c r="M130" s="451">
        <f t="shared" si="19"/>
        <v>15000</v>
      </c>
      <c r="N130" s="451">
        <f t="shared" si="19"/>
        <v>0</v>
      </c>
      <c r="O130" s="450">
        <f t="shared" si="19"/>
        <v>0</v>
      </c>
    </row>
    <row r="131" spans="1:15" ht="13.8" x14ac:dyDescent="0.25">
      <c r="A131" s="442"/>
      <c r="B131" s="576"/>
      <c r="C131" s="563" t="s">
        <v>778</v>
      </c>
      <c r="D131" s="439">
        <v>17000</v>
      </c>
      <c r="E131" s="438">
        <v>17000</v>
      </c>
      <c r="F131" s="438"/>
      <c r="G131" s="437"/>
      <c r="H131" s="439"/>
      <c r="I131" s="438"/>
      <c r="J131" s="438"/>
      <c r="K131" s="437"/>
      <c r="L131" s="439">
        <f t="shared" si="19"/>
        <v>17000</v>
      </c>
      <c r="M131" s="438">
        <f t="shared" si="19"/>
        <v>17000</v>
      </c>
      <c r="N131" s="438">
        <f t="shared" si="19"/>
        <v>0</v>
      </c>
      <c r="O131" s="437">
        <f t="shared" si="19"/>
        <v>0</v>
      </c>
    </row>
    <row r="132" spans="1:15" ht="13.8" x14ac:dyDescent="0.25">
      <c r="A132" s="442"/>
      <c r="B132" s="576"/>
      <c r="C132" s="563" t="s">
        <v>779</v>
      </c>
      <c r="D132" s="439">
        <v>500</v>
      </c>
      <c r="E132" s="438"/>
      <c r="F132" s="438">
        <v>500</v>
      </c>
      <c r="G132" s="437"/>
      <c r="H132" s="439"/>
      <c r="I132" s="438"/>
      <c r="J132" s="438"/>
      <c r="K132" s="437"/>
      <c r="L132" s="439">
        <f t="shared" si="19"/>
        <v>500</v>
      </c>
      <c r="M132" s="438">
        <f t="shared" si="19"/>
        <v>0</v>
      </c>
      <c r="N132" s="438">
        <f t="shared" si="19"/>
        <v>500</v>
      </c>
      <c r="O132" s="437">
        <f t="shared" si="19"/>
        <v>0</v>
      </c>
    </row>
    <row r="133" spans="1:15" ht="13.8" x14ac:dyDescent="0.25">
      <c r="A133" s="567"/>
      <c r="B133" s="513"/>
      <c r="C133" s="575" t="s">
        <v>780</v>
      </c>
      <c r="D133" s="452">
        <v>10000</v>
      </c>
      <c r="E133" s="451">
        <v>10000</v>
      </c>
      <c r="F133" s="451"/>
      <c r="G133" s="450"/>
      <c r="H133" s="452"/>
      <c r="I133" s="451"/>
      <c r="J133" s="451"/>
      <c r="K133" s="450"/>
      <c r="L133" s="452">
        <f t="shared" si="19"/>
        <v>10000</v>
      </c>
      <c r="M133" s="451">
        <f t="shared" si="19"/>
        <v>10000</v>
      </c>
      <c r="N133" s="451">
        <f t="shared" si="19"/>
        <v>0</v>
      </c>
      <c r="O133" s="450">
        <f t="shared" si="19"/>
        <v>0</v>
      </c>
    </row>
    <row r="134" spans="1:15" ht="13.8" x14ac:dyDescent="0.25">
      <c r="A134" s="567"/>
      <c r="B134" s="513"/>
      <c r="C134" s="575" t="s">
        <v>781</v>
      </c>
      <c r="D134" s="452">
        <v>5000</v>
      </c>
      <c r="E134" s="451">
        <v>5000</v>
      </c>
      <c r="F134" s="451"/>
      <c r="G134" s="450"/>
      <c r="H134" s="452"/>
      <c r="I134" s="451"/>
      <c r="J134" s="451"/>
      <c r="K134" s="450"/>
      <c r="L134" s="452">
        <f t="shared" si="19"/>
        <v>5000</v>
      </c>
      <c r="M134" s="451">
        <f t="shared" si="19"/>
        <v>5000</v>
      </c>
      <c r="N134" s="451">
        <f t="shared" si="19"/>
        <v>0</v>
      </c>
      <c r="O134" s="450">
        <f t="shared" si="19"/>
        <v>0</v>
      </c>
    </row>
    <row r="135" spans="1:15" ht="27.6" x14ac:dyDescent="0.25">
      <c r="A135" s="567"/>
      <c r="B135" s="513"/>
      <c r="C135" s="575" t="s">
        <v>782</v>
      </c>
      <c r="D135" s="452">
        <v>823</v>
      </c>
      <c r="E135" s="451">
        <v>823</v>
      </c>
      <c r="F135" s="451"/>
      <c r="G135" s="450"/>
      <c r="H135" s="452"/>
      <c r="I135" s="451"/>
      <c r="J135" s="451"/>
      <c r="K135" s="450"/>
      <c r="L135" s="452">
        <f t="shared" si="19"/>
        <v>823</v>
      </c>
      <c r="M135" s="451">
        <f t="shared" si="19"/>
        <v>823</v>
      </c>
      <c r="N135" s="451">
        <f t="shared" si="19"/>
        <v>0</v>
      </c>
      <c r="O135" s="450">
        <f t="shared" si="19"/>
        <v>0</v>
      </c>
    </row>
    <row r="136" spans="1:15" ht="41.4" x14ac:dyDescent="0.25">
      <c r="A136" s="567"/>
      <c r="B136" s="513"/>
      <c r="C136" s="575" t="s">
        <v>783</v>
      </c>
      <c r="D136" s="452">
        <v>1874</v>
      </c>
      <c r="E136" s="451">
        <v>1874</v>
      </c>
      <c r="F136" s="451"/>
      <c r="G136" s="450"/>
      <c r="H136" s="452"/>
      <c r="I136" s="451"/>
      <c r="J136" s="451"/>
      <c r="K136" s="450"/>
      <c r="L136" s="452">
        <f t="shared" si="19"/>
        <v>1874</v>
      </c>
      <c r="M136" s="451">
        <f t="shared" si="19"/>
        <v>1874</v>
      </c>
      <c r="N136" s="451">
        <f t="shared" si="19"/>
        <v>0</v>
      </c>
      <c r="O136" s="450">
        <f t="shared" si="19"/>
        <v>0</v>
      </c>
    </row>
    <row r="137" spans="1:15" ht="41.4" x14ac:dyDescent="0.25">
      <c r="A137" s="567"/>
      <c r="B137" s="513"/>
      <c r="C137" s="575" t="s">
        <v>784</v>
      </c>
      <c r="D137" s="452">
        <v>2292</v>
      </c>
      <c r="E137" s="451">
        <v>2292</v>
      </c>
      <c r="F137" s="451"/>
      <c r="G137" s="450"/>
      <c r="H137" s="452"/>
      <c r="I137" s="451"/>
      <c r="J137" s="451"/>
      <c r="K137" s="450"/>
      <c r="L137" s="452">
        <f t="shared" si="19"/>
        <v>2292</v>
      </c>
      <c r="M137" s="451">
        <f t="shared" si="19"/>
        <v>2292</v>
      </c>
      <c r="N137" s="451">
        <f t="shared" si="19"/>
        <v>0</v>
      </c>
      <c r="O137" s="450">
        <f t="shared" si="19"/>
        <v>0</v>
      </c>
    </row>
    <row r="138" spans="1:15" ht="13.8" x14ac:dyDescent="0.25">
      <c r="A138" s="567"/>
      <c r="B138" s="513"/>
      <c r="C138" s="575" t="s">
        <v>785</v>
      </c>
      <c r="D138" s="452">
        <v>2242</v>
      </c>
      <c r="E138" s="451">
        <v>2242</v>
      </c>
      <c r="F138" s="451"/>
      <c r="G138" s="450"/>
      <c r="H138" s="452"/>
      <c r="I138" s="451"/>
      <c r="J138" s="451"/>
      <c r="K138" s="450"/>
      <c r="L138" s="452">
        <f t="shared" si="19"/>
        <v>2242</v>
      </c>
      <c r="M138" s="451">
        <f t="shared" si="19"/>
        <v>2242</v>
      </c>
      <c r="N138" s="451">
        <f t="shared" si="19"/>
        <v>0</v>
      </c>
      <c r="O138" s="450">
        <f t="shared" si="19"/>
        <v>0</v>
      </c>
    </row>
    <row r="139" spans="1:15" ht="27.6" x14ac:dyDescent="0.25">
      <c r="A139" s="567"/>
      <c r="B139" s="513"/>
      <c r="C139" s="575" t="s">
        <v>786</v>
      </c>
      <c r="D139" s="452">
        <v>2494</v>
      </c>
      <c r="E139" s="451">
        <v>2494</v>
      </c>
      <c r="F139" s="451"/>
      <c r="G139" s="450"/>
      <c r="H139" s="452"/>
      <c r="I139" s="451"/>
      <c r="J139" s="451"/>
      <c r="K139" s="450"/>
      <c r="L139" s="452">
        <f t="shared" si="19"/>
        <v>2494</v>
      </c>
      <c r="M139" s="451">
        <f t="shared" si="19"/>
        <v>2494</v>
      </c>
      <c r="N139" s="451">
        <f t="shared" si="19"/>
        <v>0</v>
      </c>
      <c r="O139" s="450">
        <f t="shared" si="19"/>
        <v>0</v>
      </c>
    </row>
    <row r="140" spans="1:15" ht="13.8" x14ac:dyDescent="0.25">
      <c r="A140" s="567"/>
      <c r="B140" s="513"/>
      <c r="C140" s="575" t="s">
        <v>787</v>
      </c>
      <c r="D140" s="452">
        <v>4377</v>
      </c>
      <c r="E140" s="451">
        <v>4377</v>
      </c>
      <c r="F140" s="451"/>
      <c r="G140" s="450"/>
      <c r="H140" s="452"/>
      <c r="I140" s="451"/>
      <c r="J140" s="451"/>
      <c r="K140" s="450"/>
      <c r="L140" s="452">
        <f t="shared" si="19"/>
        <v>4377</v>
      </c>
      <c r="M140" s="451">
        <f t="shared" si="19"/>
        <v>4377</v>
      </c>
      <c r="N140" s="451">
        <f t="shared" si="19"/>
        <v>0</v>
      </c>
      <c r="O140" s="450">
        <f t="shared" si="19"/>
        <v>0</v>
      </c>
    </row>
    <row r="141" spans="1:15" ht="27.6" x14ac:dyDescent="0.25">
      <c r="A141" s="567"/>
      <c r="B141" s="513"/>
      <c r="C141" s="580" t="s">
        <v>788</v>
      </c>
      <c r="D141" s="452">
        <v>734</v>
      </c>
      <c r="E141" s="451">
        <v>734</v>
      </c>
      <c r="F141" s="451"/>
      <c r="G141" s="450"/>
      <c r="H141" s="452"/>
      <c r="I141" s="451"/>
      <c r="J141" s="451"/>
      <c r="K141" s="450"/>
      <c r="L141" s="452">
        <f t="shared" si="19"/>
        <v>734</v>
      </c>
      <c r="M141" s="451">
        <f t="shared" si="19"/>
        <v>734</v>
      </c>
      <c r="N141" s="451">
        <f t="shared" si="19"/>
        <v>0</v>
      </c>
      <c r="O141" s="450">
        <f t="shared" si="19"/>
        <v>0</v>
      </c>
    </row>
    <row r="142" spans="1:15" ht="13.8" x14ac:dyDescent="0.25">
      <c r="A142" s="567"/>
      <c r="B142" s="513"/>
      <c r="C142" s="563" t="s">
        <v>789</v>
      </c>
      <c r="D142" s="452">
        <v>2538</v>
      </c>
      <c r="E142" s="451">
        <v>2538</v>
      </c>
      <c r="F142" s="451"/>
      <c r="G142" s="450"/>
      <c r="H142" s="452"/>
      <c r="I142" s="451"/>
      <c r="J142" s="451"/>
      <c r="K142" s="450"/>
      <c r="L142" s="452">
        <f t="shared" si="19"/>
        <v>2538</v>
      </c>
      <c r="M142" s="451">
        <f t="shared" si="19"/>
        <v>2538</v>
      </c>
      <c r="N142" s="451">
        <f t="shared" si="19"/>
        <v>0</v>
      </c>
      <c r="O142" s="450">
        <f t="shared" si="19"/>
        <v>0</v>
      </c>
    </row>
    <row r="143" spans="1:15" ht="13.8" x14ac:dyDescent="0.25">
      <c r="A143" s="567"/>
      <c r="B143" s="513"/>
      <c r="C143" s="575" t="s">
        <v>790</v>
      </c>
      <c r="D143" s="452">
        <v>4407</v>
      </c>
      <c r="E143" s="451">
        <v>4407</v>
      </c>
      <c r="F143" s="451"/>
      <c r="G143" s="450"/>
      <c r="H143" s="452"/>
      <c r="I143" s="451"/>
      <c r="J143" s="451"/>
      <c r="K143" s="450"/>
      <c r="L143" s="452">
        <f t="shared" si="19"/>
        <v>4407</v>
      </c>
      <c r="M143" s="451">
        <f t="shared" si="19"/>
        <v>4407</v>
      </c>
      <c r="N143" s="451">
        <f t="shared" si="19"/>
        <v>0</v>
      </c>
      <c r="O143" s="450">
        <f t="shared" si="19"/>
        <v>0</v>
      </c>
    </row>
    <row r="144" spans="1:15" ht="27.6" x14ac:dyDescent="0.25">
      <c r="A144" s="442"/>
      <c r="B144" s="576"/>
      <c r="C144" s="575" t="s">
        <v>791</v>
      </c>
      <c r="D144" s="439">
        <v>5425</v>
      </c>
      <c r="E144" s="438">
        <v>5425</v>
      </c>
      <c r="F144" s="438"/>
      <c r="G144" s="437"/>
      <c r="H144" s="439"/>
      <c r="I144" s="438"/>
      <c r="J144" s="438"/>
      <c r="K144" s="437"/>
      <c r="L144" s="439">
        <f t="shared" si="19"/>
        <v>5425</v>
      </c>
      <c r="M144" s="438">
        <f t="shared" si="19"/>
        <v>5425</v>
      </c>
      <c r="N144" s="438">
        <f t="shared" si="19"/>
        <v>0</v>
      </c>
      <c r="O144" s="437">
        <f t="shared" si="19"/>
        <v>0</v>
      </c>
    </row>
    <row r="145" spans="1:15" ht="27.6" x14ac:dyDescent="0.25">
      <c r="A145" s="442"/>
      <c r="B145" s="576"/>
      <c r="C145" s="575" t="s">
        <v>792</v>
      </c>
      <c r="D145" s="439">
        <v>3845</v>
      </c>
      <c r="E145" s="438">
        <v>3845</v>
      </c>
      <c r="F145" s="438"/>
      <c r="G145" s="437"/>
      <c r="H145" s="439"/>
      <c r="I145" s="438"/>
      <c r="J145" s="438"/>
      <c r="K145" s="437"/>
      <c r="L145" s="439">
        <f t="shared" si="19"/>
        <v>3845</v>
      </c>
      <c r="M145" s="438">
        <f t="shared" si="19"/>
        <v>3845</v>
      </c>
      <c r="N145" s="438">
        <f t="shared" si="19"/>
        <v>0</v>
      </c>
      <c r="O145" s="437">
        <f t="shared" si="19"/>
        <v>0</v>
      </c>
    </row>
    <row r="146" spans="1:15" ht="27.6" x14ac:dyDescent="0.25">
      <c r="A146" s="442"/>
      <c r="B146" s="576"/>
      <c r="C146" s="575" t="s">
        <v>793</v>
      </c>
      <c r="D146" s="439">
        <v>22000</v>
      </c>
      <c r="E146" s="438">
        <v>22000</v>
      </c>
      <c r="F146" s="438"/>
      <c r="G146" s="437"/>
      <c r="H146" s="439"/>
      <c r="I146" s="438"/>
      <c r="J146" s="438"/>
      <c r="K146" s="437"/>
      <c r="L146" s="439">
        <f t="shared" si="19"/>
        <v>22000</v>
      </c>
      <c r="M146" s="438">
        <f t="shared" si="19"/>
        <v>22000</v>
      </c>
      <c r="N146" s="438">
        <f t="shared" si="19"/>
        <v>0</v>
      </c>
      <c r="O146" s="437">
        <f t="shared" si="19"/>
        <v>0</v>
      </c>
    </row>
    <row r="147" spans="1:15" ht="27.6" x14ac:dyDescent="0.25">
      <c r="A147" s="442"/>
      <c r="B147" s="576"/>
      <c r="C147" s="575" t="s">
        <v>794</v>
      </c>
      <c r="D147" s="439">
        <v>21000</v>
      </c>
      <c r="E147" s="438">
        <v>21000</v>
      </c>
      <c r="F147" s="438"/>
      <c r="G147" s="437"/>
      <c r="H147" s="439"/>
      <c r="I147" s="438"/>
      <c r="J147" s="438"/>
      <c r="K147" s="437"/>
      <c r="L147" s="439">
        <f t="shared" ref="L147:O215" si="22">D147+H147</f>
        <v>21000</v>
      </c>
      <c r="M147" s="438">
        <f t="shared" si="22"/>
        <v>21000</v>
      </c>
      <c r="N147" s="438">
        <f t="shared" si="22"/>
        <v>0</v>
      </c>
      <c r="O147" s="437">
        <f t="shared" si="22"/>
        <v>0</v>
      </c>
    </row>
    <row r="148" spans="1:15" ht="27.6" x14ac:dyDescent="0.25">
      <c r="A148" s="442"/>
      <c r="B148" s="576"/>
      <c r="C148" s="575" t="s">
        <v>795</v>
      </c>
      <c r="D148" s="439">
        <v>20000</v>
      </c>
      <c r="E148" s="438">
        <v>20000</v>
      </c>
      <c r="F148" s="438"/>
      <c r="G148" s="437"/>
      <c r="H148" s="439"/>
      <c r="I148" s="438"/>
      <c r="J148" s="438"/>
      <c r="K148" s="437"/>
      <c r="L148" s="439">
        <f t="shared" si="22"/>
        <v>20000</v>
      </c>
      <c r="M148" s="438">
        <f t="shared" si="22"/>
        <v>20000</v>
      </c>
      <c r="N148" s="438">
        <f t="shared" si="22"/>
        <v>0</v>
      </c>
      <c r="O148" s="437">
        <f t="shared" si="22"/>
        <v>0</v>
      </c>
    </row>
    <row r="149" spans="1:15" ht="13.8" x14ac:dyDescent="0.25">
      <c r="A149" s="567"/>
      <c r="B149" s="513"/>
      <c r="C149" s="575" t="s">
        <v>796</v>
      </c>
      <c r="D149" s="452">
        <v>15000</v>
      </c>
      <c r="E149" s="451"/>
      <c r="F149" s="451">
        <v>15000</v>
      </c>
      <c r="G149" s="450"/>
      <c r="H149" s="452"/>
      <c r="I149" s="451"/>
      <c r="J149" s="451"/>
      <c r="K149" s="450"/>
      <c r="L149" s="452">
        <f t="shared" si="22"/>
        <v>15000</v>
      </c>
      <c r="M149" s="451">
        <f t="shared" si="22"/>
        <v>0</v>
      </c>
      <c r="N149" s="451">
        <f t="shared" si="22"/>
        <v>15000</v>
      </c>
      <c r="O149" s="450">
        <f t="shared" si="22"/>
        <v>0</v>
      </c>
    </row>
    <row r="150" spans="1:15" ht="13.8" x14ac:dyDescent="0.25">
      <c r="A150" s="567"/>
      <c r="B150" s="513"/>
      <c r="C150" s="575" t="s">
        <v>797</v>
      </c>
      <c r="D150" s="452">
        <v>10000</v>
      </c>
      <c r="E150" s="451">
        <v>10000</v>
      </c>
      <c r="F150" s="451"/>
      <c r="G150" s="450"/>
      <c r="H150" s="452"/>
      <c r="I150" s="451"/>
      <c r="J150" s="451"/>
      <c r="K150" s="450"/>
      <c r="L150" s="452">
        <f t="shared" si="22"/>
        <v>10000</v>
      </c>
      <c r="M150" s="451">
        <f t="shared" si="22"/>
        <v>10000</v>
      </c>
      <c r="N150" s="451">
        <f t="shared" si="22"/>
        <v>0</v>
      </c>
      <c r="O150" s="450">
        <f t="shared" si="22"/>
        <v>0</v>
      </c>
    </row>
    <row r="151" spans="1:15" ht="13.8" x14ac:dyDescent="0.25">
      <c r="A151" s="567"/>
      <c r="B151" s="513"/>
      <c r="C151" s="575" t="s">
        <v>798</v>
      </c>
      <c r="D151" s="452">
        <v>2000</v>
      </c>
      <c r="E151" s="451"/>
      <c r="F151" s="451">
        <v>2000</v>
      </c>
      <c r="G151" s="450"/>
      <c r="H151" s="452"/>
      <c r="I151" s="451"/>
      <c r="J151" s="451"/>
      <c r="K151" s="450"/>
      <c r="L151" s="452">
        <f t="shared" si="22"/>
        <v>2000</v>
      </c>
      <c r="M151" s="451">
        <f t="shared" si="22"/>
        <v>0</v>
      </c>
      <c r="N151" s="451">
        <f t="shared" si="22"/>
        <v>2000</v>
      </c>
      <c r="O151" s="450">
        <f t="shared" si="22"/>
        <v>0</v>
      </c>
    </row>
    <row r="152" spans="1:15" ht="13.8" x14ac:dyDescent="0.25">
      <c r="A152" s="567"/>
      <c r="B152" s="513"/>
      <c r="C152" s="575" t="s">
        <v>799</v>
      </c>
      <c r="D152" s="452">
        <v>500</v>
      </c>
      <c r="E152" s="451">
        <v>500</v>
      </c>
      <c r="F152" s="451"/>
      <c r="G152" s="450"/>
      <c r="H152" s="452"/>
      <c r="I152" s="451"/>
      <c r="J152" s="451"/>
      <c r="K152" s="450"/>
      <c r="L152" s="452">
        <f t="shared" si="22"/>
        <v>500</v>
      </c>
      <c r="M152" s="451">
        <f t="shared" si="22"/>
        <v>500</v>
      </c>
      <c r="N152" s="451">
        <f t="shared" si="22"/>
        <v>0</v>
      </c>
      <c r="O152" s="450">
        <f t="shared" si="22"/>
        <v>0</v>
      </c>
    </row>
    <row r="153" spans="1:15" ht="13.8" x14ac:dyDescent="0.25">
      <c r="A153" s="442"/>
      <c r="B153" s="576"/>
      <c r="C153" s="563" t="s">
        <v>615</v>
      </c>
      <c r="D153" s="439">
        <v>480</v>
      </c>
      <c r="E153" s="438">
        <v>480</v>
      </c>
      <c r="F153" s="438"/>
      <c r="G153" s="437"/>
      <c r="H153" s="439"/>
      <c r="I153" s="438"/>
      <c r="J153" s="438"/>
      <c r="K153" s="437"/>
      <c r="L153" s="439">
        <f t="shared" si="22"/>
        <v>480</v>
      </c>
      <c r="M153" s="438">
        <f t="shared" si="22"/>
        <v>480</v>
      </c>
      <c r="N153" s="438">
        <f t="shared" si="22"/>
        <v>0</v>
      </c>
      <c r="O153" s="437">
        <f t="shared" si="22"/>
        <v>0</v>
      </c>
    </row>
    <row r="154" spans="1:15" ht="13.8" x14ac:dyDescent="0.25">
      <c r="A154" s="442"/>
      <c r="B154" s="576"/>
      <c r="C154" s="575" t="s">
        <v>800</v>
      </c>
      <c r="D154" s="439">
        <v>370484</v>
      </c>
      <c r="E154" s="438">
        <v>370484</v>
      </c>
      <c r="F154" s="438"/>
      <c r="G154" s="437"/>
      <c r="H154" s="439">
        <v>41415</v>
      </c>
      <c r="I154" s="438">
        <v>41415</v>
      </c>
      <c r="J154" s="438"/>
      <c r="K154" s="437"/>
      <c r="L154" s="439">
        <f t="shared" si="22"/>
        <v>411899</v>
      </c>
      <c r="M154" s="438">
        <f t="shared" si="22"/>
        <v>411899</v>
      </c>
      <c r="N154" s="438">
        <f t="shared" si="22"/>
        <v>0</v>
      </c>
      <c r="O154" s="437">
        <f t="shared" si="22"/>
        <v>0</v>
      </c>
    </row>
    <row r="155" spans="1:15" ht="27.6" x14ac:dyDescent="0.25">
      <c r="A155" s="442"/>
      <c r="B155" s="576"/>
      <c r="C155" s="575" t="s">
        <v>801</v>
      </c>
      <c r="D155" s="439">
        <v>240000</v>
      </c>
      <c r="E155" s="438">
        <v>240000</v>
      </c>
      <c r="F155" s="438"/>
      <c r="G155" s="437"/>
      <c r="H155" s="439"/>
      <c r="I155" s="438"/>
      <c r="J155" s="438"/>
      <c r="K155" s="437"/>
      <c r="L155" s="439">
        <f t="shared" si="22"/>
        <v>240000</v>
      </c>
      <c r="M155" s="438">
        <f t="shared" si="22"/>
        <v>240000</v>
      </c>
      <c r="N155" s="438">
        <f t="shared" si="22"/>
        <v>0</v>
      </c>
      <c r="O155" s="437">
        <f t="shared" si="22"/>
        <v>0</v>
      </c>
    </row>
    <row r="156" spans="1:15" ht="13.8" x14ac:dyDescent="0.25">
      <c r="A156" s="442"/>
      <c r="B156" s="576"/>
      <c r="C156" s="575" t="s">
        <v>802</v>
      </c>
      <c r="D156" s="439">
        <v>1000</v>
      </c>
      <c r="E156" s="438">
        <v>1000</v>
      </c>
      <c r="F156" s="438"/>
      <c r="G156" s="437"/>
      <c r="H156" s="439"/>
      <c r="I156" s="438"/>
      <c r="J156" s="438"/>
      <c r="K156" s="437"/>
      <c r="L156" s="439">
        <f t="shared" si="22"/>
        <v>1000</v>
      </c>
      <c r="M156" s="438">
        <f t="shared" si="22"/>
        <v>1000</v>
      </c>
      <c r="N156" s="438">
        <f t="shared" si="22"/>
        <v>0</v>
      </c>
      <c r="O156" s="437">
        <f t="shared" si="22"/>
        <v>0</v>
      </c>
    </row>
    <row r="157" spans="1:15" ht="13.8" x14ac:dyDescent="0.25">
      <c r="A157" s="442"/>
      <c r="B157" s="576"/>
      <c r="C157" s="563" t="s">
        <v>803</v>
      </c>
      <c r="D157" s="439">
        <v>9289</v>
      </c>
      <c r="E157" s="438">
        <v>9289</v>
      </c>
      <c r="F157" s="438"/>
      <c r="G157" s="437"/>
      <c r="H157" s="439">
        <v>-9289</v>
      </c>
      <c r="I157" s="438">
        <v>-9289</v>
      </c>
      <c r="J157" s="438">
        <v>0</v>
      </c>
      <c r="K157" s="437">
        <v>0</v>
      </c>
      <c r="L157" s="439">
        <f t="shared" si="22"/>
        <v>0</v>
      </c>
      <c r="M157" s="438">
        <f t="shared" si="22"/>
        <v>0</v>
      </c>
      <c r="N157" s="438">
        <f t="shared" si="22"/>
        <v>0</v>
      </c>
      <c r="O157" s="437">
        <f t="shared" si="22"/>
        <v>0</v>
      </c>
    </row>
    <row r="158" spans="1:15" ht="13.8" x14ac:dyDescent="0.25">
      <c r="A158" s="442"/>
      <c r="B158" s="576"/>
      <c r="C158" s="575" t="s">
        <v>804</v>
      </c>
      <c r="D158" s="439">
        <v>10000</v>
      </c>
      <c r="E158" s="438">
        <v>10000</v>
      </c>
      <c r="F158" s="438"/>
      <c r="G158" s="437"/>
      <c r="H158" s="439"/>
      <c r="I158" s="438"/>
      <c r="J158" s="438"/>
      <c r="K158" s="437"/>
      <c r="L158" s="439">
        <f t="shared" si="22"/>
        <v>10000</v>
      </c>
      <c r="M158" s="438">
        <f t="shared" si="22"/>
        <v>10000</v>
      </c>
      <c r="N158" s="438">
        <f t="shared" si="22"/>
        <v>0</v>
      </c>
      <c r="O158" s="437">
        <f t="shared" si="22"/>
        <v>0</v>
      </c>
    </row>
    <row r="159" spans="1:15" ht="27.6" x14ac:dyDescent="0.25">
      <c r="A159" s="442"/>
      <c r="B159" s="576"/>
      <c r="C159" s="575" t="s">
        <v>805</v>
      </c>
      <c r="D159" s="439">
        <v>1000</v>
      </c>
      <c r="E159" s="438">
        <v>1000</v>
      </c>
      <c r="F159" s="438"/>
      <c r="G159" s="437"/>
      <c r="H159" s="439"/>
      <c r="I159" s="438"/>
      <c r="J159" s="438"/>
      <c r="K159" s="437"/>
      <c r="L159" s="439">
        <f t="shared" si="22"/>
        <v>1000</v>
      </c>
      <c r="M159" s="438">
        <f t="shared" si="22"/>
        <v>1000</v>
      </c>
      <c r="N159" s="438">
        <f t="shared" si="22"/>
        <v>0</v>
      </c>
      <c r="O159" s="437">
        <f t="shared" si="22"/>
        <v>0</v>
      </c>
    </row>
    <row r="160" spans="1:15" ht="13.8" x14ac:dyDescent="0.25">
      <c r="A160" s="442"/>
      <c r="B160" s="576"/>
      <c r="C160" s="575" t="s">
        <v>806</v>
      </c>
      <c r="D160" s="439">
        <v>285</v>
      </c>
      <c r="E160" s="438">
        <v>285</v>
      </c>
      <c r="F160" s="438"/>
      <c r="G160" s="437"/>
      <c r="H160" s="439"/>
      <c r="I160" s="438"/>
      <c r="J160" s="438"/>
      <c r="K160" s="437"/>
      <c r="L160" s="439">
        <f t="shared" si="22"/>
        <v>285</v>
      </c>
      <c r="M160" s="438">
        <f t="shared" si="22"/>
        <v>285</v>
      </c>
      <c r="N160" s="438">
        <f t="shared" si="22"/>
        <v>0</v>
      </c>
      <c r="O160" s="437">
        <f t="shared" si="22"/>
        <v>0</v>
      </c>
    </row>
    <row r="161" spans="1:15" ht="27.6" x14ac:dyDescent="0.25">
      <c r="A161" s="442"/>
      <c r="B161" s="576"/>
      <c r="C161" s="575" t="s">
        <v>807</v>
      </c>
      <c r="D161" s="439">
        <v>2652</v>
      </c>
      <c r="E161" s="438">
        <v>2652</v>
      </c>
      <c r="F161" s="438"/>
      <c r="G161" s="437"/>
      <c r="H161" s="439"/>
      <c r="I161" s="438"/>
      <c r="J161" s="438"/>
      <c r="K161" s="437"/>
      <c r="L161" s="439">
        <f t="shared" si="22"/>
        <v>2652</v>
      </c>
      <c r="M161" s="438">
        <f t="shared" si="22"/>
        <v>2652</v>
      </c>
      <c r="N161" s="438">
        <f t="shared" si="22"/>
        <v>0</v>
      </c>
      <c r="O161" s="437">
        <f t="shared" si="22"/>
        <v>0</v>
      </c>
    </row>
    <row r="162" spans="1:15" ht="13.8" x14ac:dyDescent="0.25">
      <c r="A162" s="442"/>
      <c r="B162" s="576"/>
      <c r="C162" s="575" t="s">
        <v>808</v>
      </c>
      <c r="D162" s="439">
        <v>20000</v>
      </c>
      <c r="E162" s="438">
        <v>20000</v>
      </c>
      <c r="F162" s="438"/>
      <c r="G162" s="437"/>
      <c r="H162" s="439"/>
      <c r="I162" s="438"/>
      <c r="J162" s="438"/>
      <c r="K162" s="437"/>
      <c r="L162" s="439">
        <f t="shared" si="22"/>
        <v>20000</v>
      </c>
      <c r="M162" s="438">
        <f t="shared" si="22"/>
        <v>20000</v>
      </c>
      <c r="N162" s="438">
        <f t="shared" si="22"/>
        <v>0</v>
      </c>
      <c r="O162" s="437">
        <f t="shared" si="22"/>
        <v>0</v>
      </c>
    </row>
    <row r="163" spans="1:15" ht="13.8" x14ac:dyDescent="0.25">
      <c r="A163" s="442"/>
      <c r="B163" s="576"/>
      <c r="C163" s="575" t="s">
        <v>1060</v>
      </c>
      <c r="D163" s="439"/>
      <c r="E163" s="438"/>
      <c r="F163" s="438"/>
      <c r="G163" s="437"/>
      <c r="H163" s="439">
        <v>1000</v>
      </c>
      <c r="I163" s="438">
        <v>1000</v>
      </c>
      <c r="J163" s="438">
        <v>0</v>
      </c>
      <c r="K163" s="437">
        <v>0</v>
      </c>
      <c r="L163" s="439">
        <f t="shared" si="22"/>
        <v>1000</v>
      </c>
      <c r="M163" s="438">
        <f t="shared" si="22"/>
        <v>1000</v>
      </c>
      <c r="N163" s="438">
        <f t="shared" si="22"/>
        <v>0</v>
      </c>
      <c r="O163" s="437">
        <f t="shared" si="22"/>
        <v>0</v>
      </c>
    </row>
    <row r="164" spans="1:15" ht="13.8" x14ac:dyDescent="0.25">
      <c r="A164" s="442"/>
      <c r="B164" s="576"/>
      <c r="C164" s="575" t="s">
        <v>1061</v>
      </c>
      <c r="D164" s="439"/>
      <c r="E164" s="438"/>
      <c r="F164" s="438"/>
      <c r="G164" s="437"/>
      <c r="H164" s="439">
        <v>1520</v>
      </c>
      <c r="I164" s="438">
        <v>0</v>
      </c>
      <c r="J164" s="438">
        <v>1520</v>
      </c>
      <c r="K164" s="437">
        <v>0</v>
      </c>
      <c r="L164" s="439">
        <f t="shared" si="22"/>
        <v>1520</v>
      </c>
      <c r="M164" s="438">
        <f t="shared" si="22"/>
        <v>0</v>
      </c>
      <c r="N164" s="438">
        <f t="shared" si="22"/>
        <v>1520</v>
      </c>
      <c r="O164" s="437">
        <f t="shared" si="22"/>
        <v>0</v>
      </c>
    </row>
    <row r="165" spans="1:15" ht="13.8" x14ac:dyDescent="0.25">
      <c r="A165" s="442"/>
      <c r="B165" s="576"/>
      <c r="C165" s="575" t="s">
        <v>1062</v>
      </c>
      <c r="D165" s="439"/>
      <c r="E165" s="438"/>
      <c r="F165" s="438"/>
      <c r="G165" s="437"/>
      <c r="H165" s="439">
        <v>2156</v>
      </c>
      <c r="I165" s="438">
        <v>2156</v>
      </c>
      <c r="J165" s="438">
        <v>0</v>
      </c>
      <c r="K165" s="437">
        <v>0</v>
      </c>
      <c r="L165" s="439">
        <f t="shared" si="22"/>
        <v>2156</v>
      </c>
      <c r="M165" s="438">
        <f t="shared" si="22"/>
        <v>2156</v>
      </c>
      <c r="N165" s="438">
        <f t="shared" si="22"/>
        <v>0</v>
      </c>
      <c r="O165" s="437">
        <f t="shared" si="22"/>
        <v>0</v>
      </c>
    </row>
    <row r="166" spans="1:15" ht="13.8" x14ac:dyDescent="0.25">
      <c r="A166" s="567"/>
      <c r="B166" s="513"/>
      <c r="C166" s="575"/>
      <c r="D166" s="452"/>
      <c r="E166" s="451"/>
      <c r="F166" s="451"/>
      <c r="G166" s="450"/>
      <c r="H166" s="452"/>
      <c r="I166" s="451"/>
      <c r="J166" s="451"/>
      <c r="K166" s="450"/>
      <c r="L166" s="452"/>
      <c r="M166" s="451"/>
      <c r="N166" s="451"/>
      <c r="O166" s="450"/>
    </row>
    <row r="167" spans="1:15" ht="14.4" x14ac:dyDescent="0.3">
      <c r="A167" s="567"/>
      <c r="B167" s="513"/>
      <c r="C167" s="577" t="s">
        <v>36</v>
      </c>
      <c r="D167" s="578">
        <f t="shared" ref="D167:K167" si="23">SUM(D100:D166)</f>
        <v>1176465</v>
      </c>
      <c r="E167" s="501">
        <f t="shared" si="23"/>
        <v>1046365</v>
      </c>
      <c r="F167" s="501">
        <f t="shared" si="23"/>
        <v>130100</v>
      </c>
      <c r="G167" s="579">
        <f t="shared" si="23"/>
        <v>0</v>
      </c>
      <c r="H167" s="578">
        <f t="shared" si="23"/>
        <v>56795</v>
      </c>
      <c r="I167" s="501">
        <f t="shared" si="23"/>
        <v>39115</v>
      </c>
      <c r="J167" s="501">
        <f t="shared" si="23"/>
        <v>17680</v>
      </c>
      <c r="K167" s="579">
        <f t="shared" si="23"/>
        <v>0</v>
      </c>
      <c r="L167" s="578">
        <f t="shared" si="22"/>
        <v>1233260</v>
      </c>
      <c r="M167" s="501">
        <f t="shared" si="22"/>
        <v>1085480</v>
      </c>
      <c r="N167" s="501">
        <f t="shared" si="22"/>
        <v>147780</v>
      </c>
      <c r="O167" s="579">
        <f t="shared" si="22"/>
        <v>0</v>
      </c>
    </row>
    <row r="168" spans="1:15" x14ac:dyDescent="0.3">
      <c r="A168" s="567"/>
      <c r="B168" s="513"/>
      <c r="C168" s="577"/>
      <c r="D168" s="484"/>
      <c r="E168" s="427"/>
      <c r="F168" s="427"/>
      <c r="G168" s="483"/>
      <c r="H168" s="484"/>
      <c r="I168" s="427"/>
      <c r="J168" s="427"/>
      <c r="K168" s="483"/>
      <c r="L168" s="484"/>
      <c r="M168" s="427"/>
      <c r="N168" s="427"/>
      <c r="O168" s="483"/>
    </row>
    <row r="169" spans="1:15" x14ac:dyDescent="0.3">
      <c r="A169" s="567"/>
      <c r="B169" s="513" t="s">
        <v>9</v>
      </c>
      <c r="C169" s="563" t="s">
        <v>48</v>
      </c>
      <c r="D169" s="484"/>
      <c r="E169" s="427"/>
      <c r="F169" s="427"/>
      <c r="G169" s="483"/>
      <c r="H169" s="484"/>
      <c r="I169" s="427"/>
      <c r="J169" s="427"/>
      <c r="K169" s="483"/>
      <c r="L169" s="484"/>
      <c r="M169" s="427"/>
      <c r="N169" s="427"/>
      <c r="O169" s="483"/>
    </row>
    <row r="170" spans="1:15" ht="13.8" x14ac:dyDescent="0.25">
      <c r="A170" s="581"/>
      <c r="B170" s="513"/>
      <c r="C170" s="575" t="s">
        <v>85</v>
      </c>
      <c r="D170" s="439"/>
      <c r="E170" s="438"/>
      <c r="F170" s="438"/>
      <c r="G170" s="437"/>
      <c r="H170" s="439"/>
      <c r="I170" s="438"/>
      <c r="J170" s="438"/>
      <c r="K170" s="437"/>
      <c r="L170" s="439"/>
      <c r="M170" s="438"/>
      <c r="N170" s="438"/>
      <c r="O170" s="437"/>
    </row>
    <row r="171" spans="1:15" ht="13.8" x14ac:dyDescent="0.25">
      <c r="A171" s="581"/>
      <c r="B171" s="513"/>
      <c r="C171" s="575" t="s">
        <v>86</v>
      </c>
      <c r="D171" s="439">
        <v>4400</v>
      </c>
      <c r="E171" s="438"/>
      <c r="F171" s="438"/>
      <c r="G171" s="437">
        <v>4400</v>
      </c>
      <c r="H171" s="439"/>
      <c r="I171" s="438"/>
      <c r="J171" s="438"/>
      <c r="K171" s="437"/>
      <c r="L171" s="439">
        <f t="shared" si="22"/>
        <v>4400</v>
      </c>
      <c r="M171" s="438">
        <f t="shared" si="22"/>
        <v>0</v>
      </c>
      <c r="N171" s="438">
        <f t="shared" si="22"/>
        <v>0</v>
      </c>
      <c r="O171" s="437">
        <f t="shared" si="22"/>
        <v>4400</v>
      </c>
    </row>
    <row r="172" spans="1:15" ht="13.8" x14ac:dyDescent="0.25">
      <c r="A172" s="581"/>
      <c r="B172" s="513"/>
      <c r="C172" s="575" t="s">
        <v>616</v>
      </c>
      <c r="D172" s="439">
        <v>3600</v>
      </c>
      <c r="E172" s="438"/>
      <c r="F172" s="438"/>
      <c r="G172" s="437">
        <v>3600</v>
      </c>
      <c r="H172" s="439"/>
      <c r="I172" s="438"/>
      <c r="J172" s="438"/>
      <c r="K172" s="437"/>
      <c r="L172" s="439">
        <f t="shared" si="22"/>
        <v>3600</v>
      </c>
      <c r="M172" s="438">
        <f t="shared" si="22"/>
        <v>0</v>
      </c>
      <c r="N172" s="438">
        <f t="shared" si="22"/>
        <v>0</v>
      </c>
      <c r="O172" s="437">
        <f t="shared" si="22"/>
        <v>3600</v>
      </c>
    </row>
    <row r="173" spans="1:15" ht="13.8" x14ac:dyDescent="0.25">
      <c r="A173" s="581"/>
      <c r="B173" s="513"/>
      <c r="C173" s="575" t="s">
        <v>617</v>
      </c>
      <c r="D173" s="439">
        <v>3400</v>
      </c>
      <c r="E173" s="438"/>
      <c r="F173" s="438"/>
      <c r="G173" s="437">
        <v>3400</v>
      </c>
      <c r="H173" s="439"/>
      <c r="I173" s="438"/>
      <c r="J173" s="438"/>
      <c r="K173" s="437"/>
      <c r="L173" s="439">
        <f t="shared" si="22"/>
        <v>3400</v>
      </c>
      <c r="M173" s="438">
        <f t="shared" si="22"/>
        <v>0</v>
      </c>
      <c r="N173" s="438">
        <f t="shared" si="22"/>
        <v>0</v>
      </c>
      <c r="O173" s="437">
        <f t="shared" si="22"/>
        <v>3400</v>
      </c>
    </row>
    <row r="174" spans="1:15" ht="13.8" x14ac:dyDescent="0.25">
      <c r="A174" s="581"/>
      <c r="B174" s="513"/>
      <c r="C174" s="575" t="s">
        <v>618</v>
      </c>
      <c r="D174" s="439">
        <v>1800</v>
      </c>
      <c r="E174" s="438"/>
      <c r="F174" s="438"/>
      <c r="G174" s="437">
        <v>1800</v>
      </c>
      <c r="H174" s="439"/>
      <c r="I174" s="438"/>
      <c r="J174" s="438"/>
      <c r="K174" s="437"/>
      <c r="L174" s="439">
        <f t="shared" si="22"/>
        <v>1800</v>
      </c>
      <c r="M174" s="438">
        <f t="shared" si="22"/>
        <v>0</v>
      </c>
      <c r="N174" s="438">
        <f t="shared" si="22"/>
        <v>0</v>
      </c>
      <c r="O174" s="437">
        <f t="shared" si="22"/>
        <v>1800</v>
      </c>
    </row>
    <row r="175" spans="1:15" ht="13.8" x14ac:dyDescent="0.25">
      <c r="A175" s="581"/>
      <c r="B175" s="513"/>
      <c r="C175" s="575" t="s">
        <v>619</v>
      </c>
      <c r="D175" s="439">
        <v>2350</v>
      </c>
      <c r="E175" s="438"/>
      <c r="F175" s="438"/>
      <c r="G175" s="437">
        <v>2350</v>
      </c>
      <c r="H175" s="439"/>
      <c r="I175" s="438"/>
      <c r="J175" s="438"/>
      <c r="K175" s="437"/>
      <c r="L175" s="439">
        <f t="shared" si="22"/>
        <v>2350</v>
      </c>
      <c r="M175" s="438">
        <f t="shared" si="22"/>
        <v>0</v>
      </c>
      <c r="N175" s="438">
        <f t="shared" si="22"/>
        <v>0</v>
      </c>
      <c r="O175" s="437">
        <f t="shared" si="22"/>
        <v>2350</v>
      </c>
    </row>
    <row r="176" spans="1:15" ht="13.8" x14ac:dyDescent="0.25">
      <c r="A176" s="581"/>
      <c r="B176" s="513"/>
      <c r="C176" s="575" t="s">
        <v>620</v>
      </c>
      <c r="D176" s="439">
        <v>1000</v>
      </c>
      <c r="E176" s="438"/>
      <c r="F176" s="438"/>
      <c r="G176" s="437">
        <v>1000</v>
      </c>
      <c r="H176" s="439"/>
      <c r="I176" s="438"/>
      <c r="J176" s="438"/>
      <c r="K176" s="437"/>
      <c r="L176" s="439">
        <f t="shared" si="22"/>
        <v>1000</v>
      </c>
      <c r="M176" s="438">
        <f t="shared" si="22"/>
        <v>0</v>
      </c>
      <c r="N176" s="438">
        <f t="shared" si="22"/>
        <v>0</v>
      </c>
      <c r="O176" s="437">
        <f t="shared" si="22"/>
        <v>1000</v>
      </c>
    </row>
    <row r="177" spans="1:15" ht="13.8" x14ac:dyDescent="0.25">
      <c r="A177" s="581"/>
      <c r="B177" s="562"/>
      <c r="C177" s="580" t="s">
        <v>809</v>
      </c>
      <c r="D177" s="439">
        <v>150</v>
      </c>
      <c r="E177" s="438"/>
      <c r="F177" s="438"/>
      <c r="G177" s="437">
        <v>150</v>
      </c>
      <c r="H177" s="439"/>
      <c r="I177" s="438"/>
      <c r="J177" s="438"/>
      <c r="K177" s="437"/>
      <c r="L177" s="439">
        <f t="shared" si="22"/>
        <v>150</v>
      </c>
      <c r="M177" s="438">
        <f t="shared" si="22"/>
        <v>0</v>
      </c>
      <c r="N177" s="438">
        <f t="shared" si="22"/>
        <v>0</v>
      </c>
      <c r="O177" s="437">
        <f t="shared" si="22"/>
        <v>150</v>
      </c>
    </row>
    <row r="178" spans="1:15" ht="13.8" x14ac:dyDescent="0.25">
      <c r="A178" s="442"/>
      <c r="B178" s="576"/>
      <c r="C178" s="563" t="s">
        <v>87</v>
      </c>
      <c r="D178" s="439">
        <v>3000</v>
      </c>
      <c r="E178" s="438"/>
      <c r="F178" s="438"/>
      <c r="G178" s="437">
        <v>3000</v>
      </c>
      <c r="H178" s="439"/>
      <c r="I178" s="438"/>
      <c r="J178" s="438"/>
      <c r="K178" s="437"/>
      <c r="L178" s="439">
        <f t="shared" si="22"/>
        <v>3000</v>
      </c>
      <c r="M178" s="438">
        <f t="shared" si="22"/>
        <v>0</v>
      </c>
      <c r="N178" s="438">
        <f t="shared" si="22"/>
        <v>0</v>
      </c>
      <c r="O178" s="437">
        <f t="shared" si="22"/>
        <v>3000</v>
      </c>
    </row>
    <row r="179" spans="1:15" ht="13.8" x14ac:dyDescent="0.25">
      <c r="A179" s="442"/>
      <c r="B179" s="576"/>
      <c r="C179" s="563" t="s">
        <v>88</v>
      </c>
      <c r="D179" s="439">
        <v>300</v>
      </c>
      <c r="E179" s="438"/>
      <c r="F179" s="438"/>
      <c r="G179" s="437">
        <v>300</v>
      </c>
      <c r="H179" s="439"/>
      <c r="I179" s="438"/>
      <c r="J179" s="438"/>
      <c r="K179" s="437"/>
      <c r="L179" s="439">
        <f t="shared" si="22"/>
        <v>300</v>
      </c>
      <c r="M179" s="438">
        <f t="shared" si="22"/>
        <v>0</v>
      </c>
      <c r="N179" s="438">
        <f t="shared" si="22"/>
        <v>0</v>
      </c>
      <c r="O179" s="437">
        <f t="shared" si="22"/>
        <v>300</v>
      </c>
    </row>
    <row r="180" spans="1:15" ht="13.8" x14ac:dyDescent="0.25">
      <c r="A180" s="581"/>
      <c r="B180" s="513"/>
      <c r="C180" s="575"/>
      <c r="D180" s="439"/>
      <c r="E180" s="438"/>
      <c r="F180" s="438"/>
      <c r="G180" s="437"/>
      <c r="H180" s="439"/>
      <c r="I180" s="438"/>
      <c r="J180" s="438"/>
      <c r="K180" s="437"/>
      <c r="L180" s="439"/>
      <c r="M180" s="438"/>
      <c r="N180" s="438"/>
      <c r="O180" s="437"/>
    </row>
    <row r="181" spans="1:15" ht="14.4" x14ac:dyDescent="0.3">
      <c r="A181" s="567"/>
      <c r="B181" s="582"/>
      <c r="C181" s="577" t="s">
        <v>37</v>
      </c>
      <c r="D181" s="578">
        <f t="shared" ref="D181:K181" si="24">SUM(D170:D180)</f>
        <v>20000</v>
      </c>
      <c r="E181" s="501">
        <f t="shared" si="24"/>
        <v>0</v>
      </c>
      <c r="F181" s="501">
        <f t="shared" si="24"/>
        <v>0</v>
      </c>
      <c r="G181" s="579">
        <f t="shared" si="24"/>
        <v>20000</v>
      </c>
      <c r="H181" s="578">
        <f t="shared" si="24"/>
        <v>0</v>
      </c>
      <c r="I181" s="501">
        <f t="shared" si="24"/>
        <v>0</v>
      </c>
      <c r="J181" s="501">
        <f t="shared" si="24"/>
        <v>0</v>
      </c>
      <c r="K181" s="579">
        <f t="shared" si="24"/>
        <v>0</v>
      </c>
      <c r="L181" s="578">
        <f t="shared" si="22"/>
        <v>20000</v>
      </c>
      <c r="M181" s="501">
        <f t="shared" si="22"/>
        <v>0</v>
      </c>
      <c r="N181" s="501">
        <f t="shared" si="22"/>
        <v>0</v>
      </c>
      <c r="O181" s="579">
        <f t="shared" si="22"/>
        <v>20000</v>
      </c>
    </row>
    <row r="182" spans="1:15" x14ac:dyDescent="0.3">
      <c r="A182" s="567"/>
      <c r="B182" s="513"/>
      <c r="C182" s="577"/>
      <c r="D182" s="484"/>
      <c r="E182" s="427"/>
      <c r="F182" s="427"/>
      <c r="G182" s="483"/>
      <c r="H182" s="484"/>
      <c r="I182" s="427"/>
      <c r="J182" s="427"/>
      <c r="K182" s="483"/>
      <c r="L182" s="484"/>
      <c r="M182" s="427"/>
      <c r="N182" s="427"/>
      <c r="O182" s="483"/>
    </row>
    <row r="183" spans="1:15" x14ac:dyDescent="0.3">
      <c r="A183" s="567"/>
      <c r="B183" s="513" t="s">
        <v>16</v>
      </c>
      <c r="C183" s="563" t="s">
        <v>49</v>
      </c>
      <c r="D183" s="484"/>
      <c r="E183" s="427"/>
      <c r="F183" s="427"/>
      <c r="G183" s="483"/>
      <c r="H183" s="484"/>
      <c r="I183" s="427"/>
      <c r="J183" s="427"/>
      <c r="K183" s="483"/>
      <c r="L183" s="484"/>
      <c r="M183" s="427"/>
      <c r="N183" s="427"/>
      <c r="O183" s="483"/>
    </row>
    <row r="184" spans="1:15" x14ac:dyDescent="0.3">
      <c r="A184" s="567"/>
      <c r="B184" s="513"/>
      <c r="C184" s="563" t="s">
        <v>53</v>
      </c>
      <c r="D184" s="484"/>
      <c r="E184" s="427"/>
      <c r="F184" s="427"/>
      <c r="G184" s="483"/>
      <c r="H184" s="484"/>
      <c r="I184" s="427"/>
      <c r="J184" s="427"/>
      <c r="K184" s="483"/>
      <c r="L184" s="484"/>
      <c r="M184" s="427"/>
      <c r="N184" s="427"/>
      <c r="O184" s="483"/>
    </row>
    <row r="185" spans="1:15" ht="27.6" x14ac:dyDescent="0.25">
      <c r="A185" s="442"/>
      <c r="B185" s="576"/>
      <c r="C185" s="575" t="s">
        <v>621</v>
      </c>
      <c r="D185" s="439">
        <v>401558</v>
      </c>
      <c r="E185" s="438">
        <v>275586</v>
      </c>
      <c r="F185" s="438">
        <v>125972</v>
      </c>
      <c r="G185" s="437"/>
      <c r="H185" s="439">
        <v>38148</v>
      </c>
      <c r="I185" s="438">
        <v>38148</v>
      </c>
      <c r="J185" s="438">
        <v>0</v>
      </c>
      <c r="K185" s="437">
        <v>0</v>
      </c>
      <c r="L185" s="439">
        <f t="shared" si="22"/>
        <v>439706</v>
      </c>
      <c r="M185" s="438">
        <f t="shared" si="22"/>
        <v>313734</v>
      </c>
      <c r="N185" s="438">
        <f t="shared" si="22"/>
        <v>125972</v>
      </c>
      <c r="O185" s="437">
        <f t="shared" si="22"/>
        <v>0</v>
      </c>
    </row>
    <row r="186" spans="1:15" ht="13.8" x14ac:dyDescent="0.25">
      <c r="A186" s="442"/>
      <c r="B186" s="576"/>
      <c r="C186" s="563" t="s">
        <v>622</v>
      </c>
      <c r="D186" s="439">
        <v>1500</v>
      </c>
      <c r="E186" s="438"/>
      <c r="F186" s="438">
        <v>1500</v>
      </c>
      <c r="G186" s="437"/>
      <c r="H186" s="439"/>
      <c r="I186" s="438"/>
      <c r="J186" s="438"/>
      <c r="K186" s="437"/>
      <c r="L186" s="439">
        <f t="shared" si="22"/>
        <v>1500</v>
      </c>
      <c r="M186" s="438">
        <f t="shared" si="22"/>
        <v>0</v>
      </c>
      <c r="N186" s="438">
        <f t="shared" si="22"/>
        <v>1500</v>
      </c>
      <c r="O186" s="437">
        <f t="shared" si="22"/>
        <v>0</v>
      </c>
    </row>
    <row r="187" spans="1:15" ht="13.8" x14ac:dyDescent="0.25">
      <c r="A187" s="442"/>
      <c r="B187" s="576"/>
      <c r="C187" s="563" t="s">
        <v>717</v>
      </c>
      <c r="D187" s="439">
        <v>1000</v>
      </c>
      <c r="E187" s="438">
        <v>1000</v>
      </c>
      <c r="F187" s="438"/>
      <c r="G187" s="437"/>
      <c r="H187" s="439"/>
      <c r="I187" s="438"/>
      <c r="J187" s="438"/>
      <c r="K187" s="437"/>
      <c r="L187" s="439">
        <f t="shared" si="22"/>
        <v>1000</v>
      </c>
      <c r="M187" s="438">
        <f t="shared" si="22"/>
        <v>1000</v>
      </c>
      <c r="N187" s="438">
        <f t="shared" si="22"/>
        <v>0</v>
      </c>
      <c r="O187" s="437">
        <f t="shared" si="22"/>
        <v>0</v>
      </c>
    </row>
    <row r="188" spans="1:15" ht="13.8" x14ac:dyDescent="0.25">
      <c r="A188" s="442"/>
      <c r="B188" s="576"/>
      <c r="C188" s="563" t="s">
        <v>623</v>
      </c>
      <c r="D188" s="439">
        <v>5600</v>
      </c>
      <c r="E188" s="438"/>
      <c r="F188" s="438">
        <v>5600</v>
      </c>
      <c r="G188" s="437"/>
      <c r="H188" s="439"/>
      <c r="I188" s="438"/>
      <c r="J188" s="438"/>
      <c r="K188" s="437"/>
      <c r="L188" s="439">
        <f t="shared" si="22"/>
        <v>5600</v>
      </c>
      <c r="M188" s="438">
        <f t="shared" si="22"/>
        <v>0</v>
      </c>
      <c r="N188" s="438">
        <f t="shared" si="22"/>
        <v>5600</v>
      </c>
      <c r="O188" s="437">
        <f t="shared" si="22"/>
        <v>0</v>
      </c>
    </row>
    <row r="189" spans="1:15" ht="13.8" x14ac:dyDescent="0.25">
      <c r="A189" s="442"/>
      <c r="B189" s="576"/>
      <c r="C189" s="563" t="s">
        <v>810</v>
      </c>
      <c r="D189" s="439">
        <v>859</v>
      </c>
      <c r="E189" s="438">
        <v>859</v>
      </c>
      <c r="F189" s="438"/>
      <c r="G189" s="437"/>
      <c r="H189" s="439"/>
      <c r="I189" s="438"/>
      <c r="J189" s="438"/>
      <c r="K189" s="437"/>
      <c r="L189" s="439">
        <f t="shared" si="22"/>
        <v>859</v>
      </c>
      <c r="M189" s="438">
        <f t="shared" si="22"/>
        <v>859</v>
      </c>
      <c r="N189" s="438">
        <f t="shared" si="22"/>
        <v>0</v>
      </c>
      <c r="O189" s="437">
        <f t="shared" si="22"/>
        <v>0</v>
      </c>
    </row>
    <row r="190" spans="1:15" ht="13.8" x14ac:dyDescent="0.25">
      <c r="A190" s="442"/>
      <c r="B190" s="576"/>
      <c r="C190" s="575" t="s">
        <v>811</v>
      </c>
      <c r="D190" s="439">
        <v>900</v>
      </c>
      <c r="E190" s="438">
        <v>900</v>
      </c>
      <c r="F190" s="438"/>
      <c r="G190" s="437"/>
      <c r="H190" s="439"/>
      <c r="I190" s="438"/>
      <c r="J190" s="438"/>
      <c r="K190" s="437"/>
      <c r="L190" s="439">
        <f t="shared" si="22"/>
        <v>900</v>
      </c>
      <c r="M190" s="438">
        <f t="shared" si="22"/>
        <v>900</v>
      </c>
      <c r="N190" s="438">
        <f t="shared" si="22"/>
        <v>0</v>
      </c>
      <c r="O190" s="437">
        <f t="shared" si="22"/>
        <v>0</v>
      </c>
    </row>
    <row r="191" spans="1:15" ht="13.8" x14ac:dyDescent="0.25">
      <c r="A191" s="442"/>
      <c r="B191" s="576"/>
      <c r="C191" s="575" t="s">
        <v>1063</v>
      </c>
      <c r="D191" s="439"/>
      <c r="E191" s="438"/>
      <c r="F191" s="438"/>
      <c r="G191" s="437"/>
      <c r="H191" s="439">
        <v>3823</v>
      </c>
      <c r="I191" s="438">
        <v>3823</v>
      </c>
      <c r="J191" s="438">
        <v>0</v>
      </c>
      <c r="K191" s="437">
        <v>0</v>
      </c>
      <c r="L191" s="439">
        <f t="shared" si="22"/>
        <v>3823</v>
      </c>
      <c r="M191" s="438">
        <f t="shared" si="22"/>
        <v>3823</v>
      </c>
      <c r="N191" s="438">
        <f t="shared" si="22"/>
        <v>0</v>
      </c>
      <c r="O191" s="437">
        <f t="shared" si="22"/>
        <v>0</v>
      </c>
    </row>
    <row r="192" spans="1:15" ht="27.6" x14ac:dyDescent="0.25">
      <c r="A192" s="442"/>
      <c r="B192" s="576"/>
      <c r="C192" s="575" t="s">
        <v>1064</v>
      </c>
      <c r="D192" s="439"/>
      <c r="E192" s="438"/>
      <c r="F192" s="438"/>
      <c r="G192" s="437"/>
      <c r="H192" s="439">
        <v>2942</v>
      </c>
      <c r="I192" s="438">
        <v>2942</v>
      </c>
      <c r="J192" s="438">
        <v>0</v>
      </c>
      <c r="K192" s="437">
        <v>0</v>
      </c>
      <c r="L192" s="439">
        <f t="shared" si="22"/>
        <v>2942</v>
      </c>
      <c r="M192" s="438">
        <f t="shared" si="22"/>
        <v>2942</v>
      </c>
      <c r="N192" s="438">
        <f t="shared" si="22"/>
        <v>0</v>
      </c>
      <c r="O192" s="437">
        <f t="shared" si="22"/>
        <v>0</v>
      </c>
    </row>
    <row r="193" spans="1:15" ht="13.8" x14ac:dyDescent="0.25">
      <c r="A193" s="567"/>
      <c r="B193" s="513"/>
      <c r="C193" s="575"/>
      <c r="D193" s="452"/>
      <c r="E193" s="451"/>
      <c r="F193" s="451"/>
      <c r="G193" s="450"/>
      <c r="H193" s="452"/>
      <c r="I193" s="451"/>
      <c r="J193" s="451"/>
      <c r="K193" s="450"/>
      <c r="L193" s="452"/>
      <c r="M193" s="451"/>
      <c r="N193" s="451"/>
      <c r="O193" s="450"/>
    </row>
    <row r="194" spans="1:15" ht="14.4" x14ac:dyDescent="0.3">
      <c r="A194" s="567"/>
      <c r="B194" s="513"/>
      <c r="C194" s="565" t="s">
        <v>24</v>
      </c>
      <c r="D194" s="578">
        <f t="shared" ref="D194:K194" si="25">SUM(D185:D193)</f>
        <v>411417</v>
      </c>
      <c r="E194" s="501">
        <f t="shared" si="25"/>
        <v>278345</v>
      </c>
      <c r="F194" s="501">
        <f t="shared" si="25"/>
        <v>133072</v>
      </c>
      <c r="G194" s="579">
        <f t="shared" si="25"/>
        <v>0</v>
      </c>
      <c r="H194" s="578">
        <f t="shared" si="25"/>
        <v>44913</v>
      </c>
      <c r="I194" s="501">
        <f t="shared" si="25"/>
        <v>44913</v>
      </c>
      <c r="J194" s="501">
        <f t="shared" si="25"/>
        <v>0</v>
      </c>
      <c r="K194" s="579">
        <f t="shared" si="25"/>
        <v>0</v>
      </c>
      <c r="L194" s="578">
        <f t="shared" si="22"/>
        <v>456330</v>
      </c>
      <c r="M194" s="501">
        <f t="shared" si="22"/>
        <v>323258</v>
      </c>
      <c r="N194" s="501">
        <f t="shared" si="22"/>
        <v>133072</v>
      </c>
      <c r="O194" s="579">
        <f t="shared" si="22"/>
        <v>0</v>
      </c>
    </row>
    <row r="195" spans="1:15" x14ac:dyDescent="0.3">
      <c r="A195" s="567"/>
      <c r="B195" s="513"/>
      <c r="C195" s="565"/>
      <c r="D195" s="484"/>
      <c r="E195" s="427"/>
      <c r="F195" s="427"/>
      <c r="G195" s="483"/>
      <c r="H195" s="484"/>
      <c r="I195" s="427"/>
      <c r="J195" s="427"/>
      <c r="K195" s="483"/>
      <c r="L195" s="484"/>
      <c r="M195" s="427"/>
      <c r="N195" s="427"/>
      <c r="O195" s="483"/>
    </row>
    <row r="196" spans="1:15" x14ac:dyDescent="0.3">
      <c r="A196" s="567"/>
      <c r="B196" s="513"/>
      <c r="C196" s="563" t="s">
        <v>54</v>
      </c>
      <c r="D196" s="484"/>
      <c r="E196" s="427"/>
      <c r="F196" s="427"/>
      <c r="G196" s="483"/>
      <c r="H196" s="484"/>
      <c r="I196" s="427"/>
      <c r="J196" s="427"/>
      <c r="K196" s="483"/>
      <c r="L196" s="484"/>
      <c r="M196" s="427"/>
      <c r="N196" s="427"/>
      <c r="O196" s="483"/>
    </row>
    <row r="197" spans="1:15" ht="13.8" x14ac:dyDescent="0.25">
      <c r="A197" s="567"/>
      <c r="B197" s="513"/>
      <c r="C197" s="563" t="s">
        <v>317</v>
      </c>
      <c r="D197" s="439">
        <v>3000</v>
      </c>
      <c r="E197" s="438">
        <v>3000</v>
      </c>
      <c r="F197" s="438"/>
      <c r="G197" s="437"/>
      <c r="H197" s="439"/>
      <c r="I197" s="438"/>
      <c r="J197" s="438"/>
      <c r="K197" s="437"/>
      <c r="L197" s="439">
        <f t="shared" si="22"/>
        <v>3000</v>
      </c>
      <c r="M197" s="438">
        <f t="shared" si="22"/>
        <v>3000</v>
      </c>
      <c r="N197" s="438">
        <f t="shared" si="22"/>
        <v>0</v>
      </c>
      <c r="O197" s="437">
        <f t="shared" si="22"/>
        <v>0</v>
      </c>
    </row>
    <row r="198" spans="1:15" ht="13.8" x14ac:dyDescent="0.25">
      <c r="A198" s="442"/>
      <c r="B198" s="576"/>
      <c r="C198" s="563" t="s">
        <v>485</v>
      </c>
      <c r="D198" s="439">
        <v>41000</v>
      </c>
      <c r="E198" s="438"/>
      <c r="F198" s="438">
        <v>41000</v>
      </c>
      <c r="G198" s="437"/>
      <c r="H198" s="439"/>
      <c r="I198" s="438"/>
      <c r="J198" s="438"/>
      <c r="K198" s="437"/>
      <c r="L198" s="439">
        <f t="shared" si="22"/>
        <v>41000</v>
      </c>
      <c r="M198" s="438">
        <f t="shared" si="22"/>
        <v>0</v>
      </c>
      <c r="N198" s="438">
        <f t="shared" si="22"/>
        <v>41000</v>
      </c>
      <c r="O198" s="437">
        <f t="shared" si="22"/>
        <v>0</v>
      </c>
    </row>
    <row r="199" spans="1:15" ht="13.8" x14ac:dyDescent="0.25">
      <c r="A199" s="567"/>
      <c r="B199" s="513"/>
      <c r="C199" s="563" t="s">
        <v>812</v>
      </c>
      <c r="D199" s="439">
        <v>3252</v>
      </c>
      <c r="E199" s="438">
        <v>3252</v>
      </c>
      <c r="F199" s="438"/>
      <c r="G199" s="437"/>
      <c r="H199" s="439"/>
      <c r="I199" s="438"/>
      <c r="J199" s="438"/>
      <c r="K199" s="437"/>
      <c r="L199" s="439">
        <f t="shared" si="22"/>
        <v>3252</v>
      </c>
      <c r="M199" s="438">
        <f t="shared" si="22"/>
        <v>3252</v>
      </c>
      <c r="N199" s="438">
        <f t="shared" si="22"/>
        <v>0</v>
      </c>
      <c r="O199" s="437">
        <f t="shared" si="22"/>
        <v>0</v>
      </c>
    </row>
    <row r="200" spans="1:15" ht="13.8" x14ac:dyDescent="0.25">
      <c r="A200" s="567"/>
      <c r="B200" s="513"/>
      <c r="C200" s="563" t="s">
        <v>813</v>
      </c>
      <c r="D200" s="439">
        <v>3119</v>
      </c>
      <c r="E200" s="438">
        <v>3119</v>
      </c>
      <c r="F200" s="438"/>
      <c r="G200" s="437"/>
      <c r="H200" s="439"/>
      <c r="I200" s="438"/>
      <c r="J200" s="438"/>
      <c r="K200" s="437"/>
      <c r="L200" s="439">
        <f t="shared" si="22"/>
        <v>3119</v>
      </c>
      <c r="M200" s="438">
        <f t="shared" si="22"/>
        <v>3119</v>
      </c>
      <c r="N200" s="438">
        <f t="shared" si="22"/>
        <v>0</v>
      </c>
      <c r="O200" s="437">
        <f t="shared" si="22"/>
        <v>0</v>
      </c>
    </row>
    <row r="201" spans="1:15" ht="13.8" x14ac:dyDescent="0.25">
      <c r="A201" s="567"/>
      <c r="B201" s="513"/>
      <c r="C201" s="575" t="s">
        <v>814</v>
      </c>
      <c r="D201" s="452">
        <v>5000</v>
      </c>
      <c r="E201" s="451"/>
      <c r="F201" s="451">
        <v>5000</v>
      </c>
      <c r="G201" s="450"/>
      <c r="H201" s="452"/>
      <c r="I201" s="451"/>
      <c r="J201" s="451"/>
      <c r="K201" s="450"/>
      <c r="L201" s="452">
        <f t="shared" si="22"/>
        <v>5000</v>
      </c>
      <c r="M201" s="451">
        <f t="shared" si="22"/>
        <v>0</v>
      </c>
      <c r="N201" s="451">
        <f t="shared" si="22"/>
        <v>5000</v>
      </c>
      <c r="O201" s="450">
        <f t="shared" si="22"/>
        <v>0</v>
      </c>
    </row>
    <row r="202" spans="1:15" ht="13.8" x14ac:dyDescent="0.25">
      <c r="A202" s="569"/>
      <c r="B202" s="513"/>
      <c r="C202" s="575" t="s">
        <v>815</v>
      </c>
      <c r="D202" s="452">
        <v>1500</v>
      </c>
      <c r="E202" s="451"/>
      <c r="F202" s="451">
        <v>1500</v>
      </c>
      <c r="G202" s="450"/>
      <c r="H202" s="452"/>
      <c r="I202" s="451"/>
      <c r="J202" s="451"/>
      <c r="K202" s="450"/>
      <c r="L202" s="452">
        <f t="shared" si="22"/>
        <v>1500</v>
      </c>
      <c r="M202" s="451">
        <f t="shared" si="22"/>
        <v>0</v>
      </c>
      <c r="N202" s="451">
        <f t="shared" si="22"/>
        <v>1500</v>
      </c>
      <c r="O202" s="450">
        <f t="shared" si="22"/>
        <v>0</v>
      </c>
    </row>
    <row r="203" spans="1:15" ht="13.8" x14ac:dyDescent="0.25">
      <c r="A203" s="567"/>
      <c r="B203" s="513"/>
      <c r="C203" s="575" t="s">
        <v>816</v>
      </c>
      <c r="D203" s="452">
        <v>500</v>
      </c>
      <c r="E203" s="451"/>
      <c r="F203" s="451">
        <v>500</v>
      </c>
      <c r="G203" s="450"/>
      <c r="H203" s="452"/>
      <c r="I203" s="451"/>
      <c r="J203" s="451"/>
      <c r="K203" s="450"/>
      <c r="L203" s="452">
        <f t="shared" si="22"/>
        <v>500</v>
      </c>
      <c r="M203" s="451">
        <f t="shared" si="22"/>
        <v>0</v>
      </c>
      <c r="N203" s="451">
        <f t="shared" si="22"/>
        <v>500</v>
      </c>
      <c r="O203" s="450">
        <f t="shared" si="22"/>
        <v>0</v>
      </c>
    </row>
    <row r="204" spans="1:15" ht="13.8" x14ac:dyDescent="0.25">
      <c r="A204" s="567"/>
      <c r="B204" s="513"/>
      <c r="C204" s="575" t="s">
        <v>817</v>
      </c>
      <c r="D204" s="452">
        <v>1200</v>
      </c>
      <c r="E204" s="451"/>
      <c r="F204" s="451">
        <v>1200</v>
      </c>
      <c r="G204" s="450"/>
      <c r="H204" s="452"/>
      <c r="I204" s="451"/>
      <c r="J204" s="451"/>
      <c r="K204" s="450"/>
      <c r="L204" s="452">
        <f t="shared" si="22"/>
        <v>1200</v>
      </c>
      <c r="M204" s="451">
        <f t="shared" si="22"/>
        <v>0</v>
      </c>
      <c r="N204" s="451">
        <f t="shared" si="22"/>
        <v>1200</v>
      </c>
      <c r="O204" s="450">
        <f t="shared" si="22"/>
        <v>0</v>
      </c>
    </row>
    <row r="205" spans="1:15" ht="13.8" x14ac:dyDescent="0.25">
      <c r="A205" s="442"/>
      <c r="B205" s="576"/>
      <c r="C205" s="563" t="s">
        <v>818</v>
      </c>
      <c r="D205" s="439">
        <v>2000</v>
      </c>
      <c r="E205" s="438"/>
      <c r="F205" s="438">
        <v>2000</v>
      </c>
      <c r="G205" s="437"/>
      <c r="H205" s="439"/>
      <c r="I205" s="438"/>
      <c r="J205" s="438"/>
      <c r="K205" s="437"/>
      <c r="L205" s="439">
        <f t="shared" si="22"/>
        <v>2000</v>
      </c>
      <c r="M205" s="438">
        <f t="shared" si="22"/>
        <v>0</v>
      </c>
      <c r="N205" s="438">
        <f t="shared" si="22"/>
        <v>2000</v>
      </c>
      <c r="O205" s="437">
        <f t="shared" si="22"/>
        <v>0</v>
      </c>
    </row>
    <row r="206" spans="1:15" ht="13.8" x14ac:dyDescent="0.25">
      <c r="A206" s="442"/>
      <c r="B206" s="576"/>
      <c r="C206" s="563" t="s">
        <v>819</v>
      </c>
      <c r="D206" s="439">
        <v>1000</v>
      </c>
      <c r="E206" s="438"/>
      <c r="F206" s="438">
        <v>1000</v>
      </c>
      <c r="G206" s="437"/>
      <c r="H206" s="439"/>
      <c r="I206" s="438"/>
      <c r="J206" s="438"/>
      <c r="K206" s="437"/>
      <c r="L206" s="439">
        <f t="shared" si="22"/>
        <v>1000</v>
      </c>
      <c r="M206" s="438">
        <f t="shared" si="22"/>
        <v>0</v>
      </c>
      <c r="N206" s="438">
        <f t="shared" si="22"/>
        <v>1000</v>
      </c>
      <c r="O206" s="437">
        <f t="shared" si="22"/>
        <v>0</v>
      </c>
    </row>
    <row r="207" spans="1:15" ht="13.8" x14ac:dyDescent="0.25">
      <c r="A207" s="567"/>
      <c r="B207" s="513"/>
      <c r="C207" s="583" t="s">
        <v>624</v>
      </c>
      <c r="D207" s="452">
        <v>1325</v>
      </c>
      <c r="E207" s="451">
        <v>1325</v>
      </c>
      <c r="F207" s="451"/>
      <c r="G207" s="450"/>
      <c r="H207" s="452"/>
      <c r="I207" s="451"/>
      <c r="J207" s="451"/>
      <c r="K207" s="450"/>
      <c r="L207" s="452">
        <f t="shared" si="22"/>
        <v>1325</v>
      </c>
      <c r="M207" s="451">
        <f t="shared" si="22"/>
        <v>1325</v>
      </c>
      <c r="N207" s="451">
        <f t="shared" si="22"/>
        <v>0</v>
      </c>
      <c r="O207" s="450">
        <f t="shared" si="22"/>
        <v>0</v>
      </c>
    </row>
    <row r="208" spans="1:15" ht="13.8" x14ac:dyDescent="0.25">
      <c r="A208" s="567"/>
      <c r="B208" s="513"/>
      <c r="C208" s="580" t="s">
        <v>820</v>
      </c>
      <c r="D208" s="452">
        <v>2500</v>
      </c>
      <c r="E208" s="451">
        <v>2500</v>
      </c>
      <c r="F208" s="451"/>
      <c r="G208" s="450"/>
      <c r="H208" s="452"/>
      <c r="I208" s="451"/>
      <c r="J208" s="451"/>
      <c r="K208" s="450"/>
      <c r="L208" s="452">
        <f t="shared" si="22"/>
        <v>2500</v>
      </c>
      <c r="M208" s="451">
        <f t="shared" si="22"/>
        <v>2500</v>
      </c>
      <c r="N208" s="451">
        <f t="shared" si="22"/>
        <v>0</v>
      </c>
      <c r="O208" s="450">
        <f t="shared" si="22"/>
        <v>0</v>
      </c>
    </row>
    <row r="209" spans="1:15" ht="27.6" x14ac:dyDescent="0.25">
      <c r="A209" s="567"/>
      <c r="B209" s="513"/>
      <c r="C209" s="580" t="s">
        <v>821</v>
      </c>
      <c r="D209" s="452">
        <v>5000</v>
      </c>
      <c r="E209" s="451">
        <v>5000</v>
      </c>
      <c r="F209" s="451"/>
      <c r="G209" s="450"/>
      <c r="H209" s="452"/>
      <c r="I209" s="451"/>
      <c r="J209" s="451"/>
      <c r="K209" s="450"/>
      <c r="L209" s="452">
        <f t="shared" si="22"/>
        <v>5000</v>
      </c>
      <c r="M209" s="451">
        <f t="shared" si="22"/>
        <v>5000</v>
      </c>
      <c r="N209" s="451">
        <f t="shared" si="22"/>
        <v>0</v>
      </c>
      <c r="O209" s="450">
        <f t="shared" si="22"/>
        <v>0</v>
      </c>
    </row>
    <row r="210" spans="1:15" ht="13.8" x14ac:dyDescent="0.25">
      <c r="A210" s="567"/>
      <c r="B210" s="513"/>
      <c r="C210" s="580"/>
      <c r="D210" s="452"/>
      <c r="E210" s="451"/>
      <c r="F210" s="451"/>
      <c r="G210" s="450"/>
      <c r="H210" s="452"/>
      <c r="I210" s="451"/>
      <c r="J210" s="451"/>
      <c r="K210" s="450"/>
      <c r="L210" s="452"/>
      <c r="M210" s="451"/>
      <c r="N210" s="451"/>
      <c r="O210" s="450"/>
    </row>
    <row r="211" spans="1:15" ht="14.4" x14ac:dyDescent="0.3">
      <c r="A211" s="567"/>
      <c r="B211" s="513"/>
      <c r="C211" s="565" t="s">
        <v>24</v>
      </c>
      <c r="D211" s="578">
        <f t="shared" ref="D211:K211" si="26">SUM(D197:D210)</f>
        <v>70396</v>
      </c>
      <c r="E211" s="501">
        <f t="shared" si="26"/>
        <v>18196</v>
      </c>
      <c r="F211" s="501">
        <f t="shared" si="26"/>
        <v>52200</v>
      </c>
      <c r="G211" s="579">
        <f t="shared" si="26"/>
        <v>0</v>
      </c>
      <c r="H211" s="578">
        <f t="shared" si="26"/>
        <v>0</v>
      </c>
      <c r="I211" s="501">
        <f t="shared" si="26"/>
        <v>0</v>
      </c>
      <c r="J211" s="501">
        <f t="shared" si="26"/>
        <v>0</v>
      </c>
      <c r="K211" s="579">
        <f t="shared" si="26"/>
        <v>0</v>
      </c>
      <c r="L211" s="578">
        <f t="shared" si="22"/>
        <v>70396</v>
      </c>
      <c r="M211" s="501">
        <f t="shared" si="22"/>
        <v>18196</v>
      </c>
      <c r="N211" s="501">
        <f t="shared" si="22"/>
        <v>52200</v>
      </c>
      <c r="O211" s="579">
        <f t="shared" si="22"/>
        <v>0</v>
      </c>
    </row>
    <row r="212" spans="1:15" x14ac:dyDescent="0.3">
      <c r="A212" s="567"/>
      <c r="B212" s="513"/>
      <c r="C212" s="577"/>
      <c r="D212" s="484"/>
      <c r="E212" s="427"/>
      <c r="F212" s="427"/>
      <c r="G212" s="483"/>
      <c r="H212" s="484"/>
      <c r="I212" s="427"/>
      <c r="J212" s="427"/>
      <c r="K212" s="483"/>
      <c r="L212" s="484"/>
      <c r="M212" s="427"/>
      <c r="N212" s="427"/>
      <c r="O212" s="483"/>
    </row>
    <row r="213" spans="1:15" x14ac:dyDescent="0.3">
      <c r="A213" s="442"/>
      <c r="B213" s="582"/>
      <c r="C213" s="563" t="s">
        <v>65</v>
      </c>
      <c r="D213" s="484"/>
      <c r="E213" s="427"/>
      <c r="F213" s="427"/>
      <c r="G213" s="483"/>
      <c r="H213" s="484"/>
      <c r="I213" s="427"/>
      <c r="J213" s="427"/>
      <c r="K213" s="483"/>
      <c r="L213" s="439">
        <f t="shared" si="22"/>
        <v>0</v>
      </c>
      <c r="M213" s="438">
        <f t="shared" si="22"/>
        <v>0</v>
      </c>
      <c r="N213" s="438">
        <f t="shared" si="22"/>
        <v>0</v>
      </c>
      <c r="O213" s="437">
        <f t="shared" si="22"/>
        <v>0</v>
      </c>
    </row>
    <row r="214" spans="1:15" ht="14.4" x14ac:dyDescent="0.3">
      <c r="A214" s="442"/>
      <c r="B214" s="582"/>
      <c r="C214" s="575"/>
      <c r="D214" s="452"/>
      <c r="E214" s="451"/>
      <c r="F214" s="451"/>
      <c r="G214" s="450"/>
      <c r="H214" s="452"/>
      <c r="I214" s="451"/>
      <c r="J214" s="451"/>
      <c r="K214" s="450"/>
      <c r="L214" s="452"/>
      <c r="M214" s="451"/>
      <c r="N214" s="451"/>
      <c r="O214" s="450"/>
    </row>
    <row r="215" spans="1:15" ht="14.4" x14ac:dyDescent="0.3">
      <c r="A215" s="442"/>
      <c r="B215" s="513"/>
      <c r="C215" s="565" t="s">
        <v>24</v>
      </c>
      <c r="D215" s="578">
        <f t="shared" ref="D215:K215" si="27">SUM(D214:D214)</f>
        <v>0</v>
      </c>
      <c r="E215" s="501">
        <f t="shared" si="27"/>
        <v>0</v>
      </c>
      <c r="F215" s="501">
        <f t="shared" si="27"/>
        <v>0</v>
      </c>
      <c r="G215" s="579">
        <f t="shared" si="27"/>
        <v>0</v>
      </c>
      <c r="H215" s="578">
        <f t="shared" si="27"/>
        <v>0</v>
      </c>
      <c r="I215" s="501">
        <f t="shared" si="27"/>
        <v>0</v>
      </c>
      <c r="J215" s="501">
        <f t="shared" si="27"/>
        <v>0</v>
      </c>
      <c r="K215" s="579">
        <f t="shared" si="27"/>
        <v>0</v>
      </c>
      <c r="L215" s="578">
        <f t="shared" si="22"/>
        <v>0</v>
      </c>
      <c r="M215" s="501">
        <f t="shared" si="22"/>
        <v>0</v>
      </c>
      <c r="N215" s="501">
        <f t="shared" si="22"/>
        <v>0</v>
      </c>
      <c r="O215" s="579">
        <f t="shared" si="22"/>
        <v>0</v>
      </c>
    </row>
    <row r="216" spans="1:15" x14ac:dyDescent="0.3">
      <c r="A216" s="442"/>
      <c r="B216" s="513"/>
      <c r="C216" s="577"/>
      <c r="D216" s="484"/>
      <c r="E216" s="427"/>
      <c r="F216" s="427"/>
      <c r="G216" s="483"/>
      <c r="H216" s="484"/>
      <c r="I216" s="427"/>
      <c r="J216" s="427"/>
      <c r="K216" s="483"/>
      <c r="L216" s="484"/>
      <c r="M216" s="427"/>
      <c r="N216" s="427"/>
      <c r="O216" s="483"/>
    </row>
    <row r="217" spans="1:15" ht="14.4" x14ac:dyDescent="0.3">
      <c r="A217" s="442"/>
      <c r="B217" s="582"/>
      <c r="C217" s="563" t="s">
        <v>57</v>
      </c>
      <c r="D217" s="439">
        <v>5000</v>
      </c>
      <c r="E217" s="438">
        <v>5000</v>
      </c>
      <c r="F217" s="438"/>
      <c r="G217" s="437"/>
      <c r="H217" s="439"/>
      <c r="I217" s="438"/>
      <c r="J217" s="438"/>
      <c r="K217" s="437"/>
      <c r="L217" s="439">
        <f t="shared" ref="L217:O290" si="28">D217+H217</f>
        <v>5000</v>
      </c>
      <c r="M217" s="438">
        <f t="shared" si="28"/>
        <v>5000</v>
      </c>
      <c r="N217" s="438">
        <f t="shared" si="28"/>
        <v>0</v>
      </c>
      <c r="O217" s="437">
        <f t="shared" si="28"/>
        <v>0</v>
      </c>
    </row>
    <row r="218" spans="1:15" ht="14.4" x14ac:dyDescent="0.3">
      <c r="A218" s="442"/>
      <c r="B218" s="582"/>
      <c r="C218" s="563"/>
      <c r="D218" s="439"/>
      <c r="E218" s="438"/>
      <c r="F218" s="438"/>
      <c r="G218" s="437"/>
      <c r="H218" s="439"/>
      <c r="I218" s="438"/>
      <c r="J218" s="438"/>
      <c r="K218" s="437"/>
      <c r="L218" s="439"/>
      <c r="M218" s="438"/>
      <c r="N218" s="438"/>
      <c r="O218" s="437"/>
    </row>
    <row r="219" spans="1:15" ht="13.8" x14ac:dyDescent="0.25">
      <c r="A219" s="442"/>
      <c r="B219" s="513"/>
      <c r="C219" s="563" t="s">
        <v>558</v>
      </c>
      <c r="D219" s="439"/>
      <c r="E219" s="438"/>
      <c r="F219" s="438"/>
      <c r="G219" s="437"/>
      <c r="H219" s="439"/>
      <c r="I219" s="438"/>
      <c r="J219" s="438"/>
      <c r="K219" s="437"/>
      <c r="L219" s="439"/>
      <c r="M219" s="438"/>
      <c r="N219" s="438"/>
      <c r="O219" s="437"/>
    </row>
    <row r="220" spans="1:15" ht="13.8" x14ac:dyDescent="0.25">
      <c r="A220" s="442"/>
      <c r="B220" s="513"/>
      <c r="C220" s="563" t="s">
        <v>822</v>
      </c>
      <c r="D220" s="439">
        <v>3061</v>
      </c>
      <c r="E220" s="438">
        <v>3061</v>
      </c>
      <c r="F220" s="438"/>
      <c r="G220" s="437"/>
      <c r="H220" s="439"/>
      <c r="I220" s="438"/>
      <c r="J220" s="438"/>
      <c r="K220" s="437"/>
      <c r="L220" s="439">
        <f t="shared" si="28"/>
        <v>3061</v>
      </c>
      <c r="M220" s="438">
        <f t="shared" si="28"/>
        <v>3061</v>
      </c>
      <c r="N220" s="438">
        <f t="shared" si="28"/>
        <v>0</v>
      </c>
      <c r="O220" s="437">
        <f t="shared" si="28"/>
        <v>0</v>
      </c>
    </row>
    <row r="221" spans="1:15" ht="13.8" x14ac:dyDescent="0.25">
      <c r="A221" s="442"/>
      <c r="B221" s="513"/>
      <c r="C221" s="563"/>
      <c r="D221" s="439"/>
      <c r="E221" s="438"/>
      <c r="F221" s="438"/>
      <c r="G221" s="437"/>
      <c r="H221" s="439"/>
      <c r="I221" s="438"/>
      <c r="J221" s="438"/>
      <c r="K221" s="437"/>
      <c r="L221" s="439"/>
      <c r="M221" s="438"/>
      <c r="N221" s="438"/>
      <c r="O221" s="437"/>
    </row>
    <row r="222" spans="1:15" ht="27.6" x14ac:dyDescent="0.25">
      <c r="A222" s="442"/>
      <c r="B222" s="513"/>
      <c r="C222" s="575" t="s">
        <v>1065</v>
      </c>
      <c r="D222" s="439"/>
      <c r="E222" s="438"/>
      <c r="F222" s="438"/>
      <c r="G222" s="437"/>
      <c r="H222" s="439"/>
      <c r="I222" s="438"/>
      <c r="J222" s="438"/>
      <c r="K222" s="437"/>
      <c r="L222" s="439"/>
      <c r="M222" s="438"/>
      <c r="N222" s="438"/>
      <c r="O222" s="437"/>
    </row>
    <row r="223" spans="1:15" ht="13.8" x14ac:dyDescent="0.25">
      <c r="A223" s="442"/>
      <c r="B223" s="513"/>
      <c r="C223" s="563" t="s">
        <v>1066</v>
      </c>
      <c r="D223" s="439"/>
      <c r="E223" s="438"/>
      <c r="F223" s="438"/>
      <c r="G223" s="437"/>
      <c r="H223" s="439">
        <v>9000</v>
      </c>
      <c r="I223" s="438">
        <v>9000</v>
      </c>
      <c r="J223" s="438">
        <v>0</v>
      </c>
      <c r="K223" s="437">
        <v>0</v>
      </c>
      <c r="L223" s="439">
        <f t="shared" ref="L223:O223" si="29">D223+H223</f>
        <v>9000</v>
      </c>
      <c r="M223" s="438">
        <f t="shared" si="29"/>
        <v>9000</v>
      </c>
      <c r="N223" s="438">
        <f t="shared" si="29"/>
        <v>0</v>
      </c>
      <c r="O223" s="437">
        <f t="shared" si="29"/>
        <v>0</v>
      </c>
    </row>
    <row r="224" spans="1:15" ht="13.8" x14ac:dyDescent="0.25">
      <c r="A224" s="442"/>
      <c r="B224" s="513"/>
      <c r="C224" s="563"/>
      <c r="D224" s="439"/>
      <c r="E224" s="438"/>
      <c r="F224" s="438"/>
      <c r="G224" s="437"/>
      <c r="H224" s="439"/>
      <c r="I224" s="438"/>
      <c r="J224" s="438"/>
      <c r="K224" s="437"/>
      <c r="L224" s="439"/>
      <c r="M224" s="438"/>
      <c r="N224" s="438"/>
      <c r="O224" s="437"/>
    </row>
    <row r="225" spans="1:15" ht="14.4" x14ac:dyDescent="0.3">
      <c r="A225" s="442"/>
      <c r="B225" s="513"/>
      <c r="C225" s="577" t="s">
        <v>56</v>
      </c>
      <c r="D225" s="578">
        <f t="shared" ref="D225:G225" si="30">D194+D211+D215+D217+D220</f>
        <v>489874</v>
      </c>
      <c r="E225" s="501">
        <f t="shared" si="30"/>
        <v>304602</v>
      </c>
      <c r="F225" s="501">
        <f t="shared" si="30"/>
        <v>185272</v>
      </c>
      <c r="G225" s="579">
        <f t="shared" si="30"/>
        <v>0</v>
      </c>
      <c r="H225" s="578">
        <f>H194+H211+H215+H217+H220+H223</f>
        <v>53913</v>
      </c>
      <c r="I225" s="501">
        <f t="shared" ref="I225:K225" si="31">I194+I211+I215+I217+I220+I223</f>
        <v>53913</v>
      </c>
      <c r="J225" s="501">
        <f t="shared" si="31"/>
        <v>0</v>
      </c>
      <c r="K225" s="579">
        <f t="shared" si="31"/>
        <v>0</v>
      </c>
      <c r="L225" s="578">
        <f t="shared" si="28"/>
        <v>543787</v>
      </c>
      <c r="M225" s="501">
        <f t="shared" si="28"/>
        <v>358515</v>
      </c>
      <c r="N225" s="501">
        <f t="shared" si="28"/>
        <v>185272</v>
      </c>
      <c r="O225" s="579">
        <f t="shared" si="28"/>
        <v>0</v>
      </c>
    </row>
    <row r="226" spans="1:15" x14ac:dyDescent="0.3">
      <c r="A226" s="567"/>
      <c r="B226" s="513"/>
      <c r="C226" s="577"/>
      <c r="D226" s="484"/>
      <c r="E226" s="427"/>
      <c r="F226" s="427"/>
      <c r="G226" s="483"/>
      <c r="H226" s="484"/>
      <c r="I226" s="427"/>
      <c r="J226" s="427"/>
      <c r="K226" s="483"/>
      <c r="L226" s="484"/>
      <c r="M226" s="427"/>
      <c r="N226" s="427"/>
      <c r="O226" s="483"/>
    </row>
    <row r="227" spans="1:15" x14ac:dyDescent="0.3">
      <c r="A227" s="567"/>
      <c r="B227" s="513" t="s">
        <v>19</v>
      </c>
      <c r="C227" s="563" t="s">
        <v>50</v>
      </c>
      <c r="D227" s="484"/>
      <c r="E227" s="427"/>
      <c r="F227" s="427"/>
      <c r="G227" s="483"/>
      <c r="H227" s="484"/>
      <c r="I227" s="427"/>
      <c r="J227" s="427"/>
      <c r="K227" s="483"/>
      <c r="L227" s="484"/>
      <c r="M227" s="427"/>
      <c r="N227" s="427"/>
      <c r="O227" s="483"/>
    </row>
    <row r="228" spans="1:15" x14ac:dyDescent="0.3">
      <c r="A228" s="567"/>
      <c r="B228" s="513"/>
      <c r="C228" s="580" t="s">
        <v>625</v>
      </c>
      <c r="D228" s="439">
        <v>10000</v>
      </c>
      <c r="E228" s="438">
        <v>10000</v>
      </c>
      <c r="F228" s="427"/>
      <c r="G228" s="483"/>
      <c r="H228" s="439"/>
      <c r="I228" s="438"/>
      <c r="J228" s="427"/>
      <c r="K228" s="483"/>
      <c r="L228" s="439">
        <f t="shared" si="28"/>
        <v>10000</v>
      </c>
      <c r="M228" s="438">
        <f t="shared" si="28"/>
        <v>10000</v>
      </c>
      <c r="N228" s="427">
        <f t="shared" si="28"/>
        <v>0</v>
      </c>
      <c r="O228" s="483">
        <f t="shared" si="28"/>
        <v>0</v>
      </c>
    </row>
    <row r="229" spans="1:15" ht="13.8" x14ac:dyDescent="0.25">
      <c r="A229" s="567"/>
      <c r="B229" s="513"/>
      <c r="C229" s="563" t="s">
        <v>559</v>
      </c>
      <c r="D229" s="439">
        <v>14512</v>
      </c>
      <c r="E229" s="438">
        <v>14512</v>
      </c>
      <c r="F229" s="438"/>
      <c r="G229" s="437"/>
      <c r="H229" s="439"/>
      <c r="I229" s="438"/>
      <c r="J229" s="438"/>
      <c r="K229" s="437"/>
      <c r="L229" s="439">
        <f t="shared" si="28"/>
        <v>14512</v>
      </c>
      <c r="M229" s="438">
        <f t="shared" si="28"/>
        <v>14512</v>
      </c>
      <c r="N229" s="438">
        <f t="shared" si="28"/>
        <v>0</v>
      </c>
      <c r="O229" s="437">
        <f t="shared" si="28"/>
        <v>0</v>
      </c>
    </row>
    <row r="230" spans="1:15" ht="13.8" x14ac:dyDescent="0.25">
      <c r="A230" s="567"/>
      <c r="B230" s="513"/>
      <c r="C230" s="575" t="s">
        <v>626</v>
      </c>
      <c r="D230" s="439">
        <v>8000</v>
      </c>
      <c r="E230" s="438">
        <v>8000</v>
      </c>
      <c r="F230" s="438"/>
      <c r="G230" s="437"/>
      <c r="H230" s="439"/>
      <c r="I230" s="438"/>
      <c r="J230" s="438"/>
      <c r="K230" s="437"/>
      <c r="L230" s="439">
        <f t="shared" si="28"/>
        <v>8000</v>
      </c>
      <c r="M230" s="438">
        <f t="shared" si="28"/>
        <v>8000</v>
      </c>
      <c r="N230" s="438">
        <f t="shared" si="28"/>
        <v>0</v>
      </c>
      <c r="O230" s="437">
        <f t="shared" si="28"/>
        <v>0</v>
      </c>
    </row>
    <row r="231" spans="1:15" ht="13.8" x14ac:dyDescent="0.25">
      <c r="A231" s="442"/>
      <c r="B231" s="576"/>
      <c r="C231" s="563" t="s">
        <v>627</v>
      </c>
      <c r="D231" s="439">
        <v>3000</v>
      </c>
      <c r="E231" s="438">
        <v>3000</v>
      </c>
      <c r="F231" s="438"/>
      <c r="G231" s="437"/>
      <c r="H231" s="439"/>
      <c r="I231" s="438"/>
      <c r="J231" s="438"/>
      <c r="K231" s="437"/>
      <c r="L231" s="439">
        <f t="shared" si="28"/>
        <v>3000</v>
      </c>
      <c r="M231" s="438">
        <f t="shared" si="28"/>
        <v>3000</v>
      </c>
      <c r="N231" s="438">
        <f t="shared" si="28"/>
        <v>0</v>
      </c>
      <c r="O231" s="437">
        <f t="shared" si="28"/>
        <v>0</v>
      </c>
    </row>
    <row r="232" spans="1:15" ht="13.8" x14ac:dyDescent="0.25">
      <c r="A232" s="567"/>
      <c r="B232" s="513"/>
      <c r="C232" s="575" t="s">
        <v>628</v>
      </c>
      <c r="D232" s="439">
        <v>3200</v>
      </c>
      <c r="E232" s="438"/>
      <c r="F232" s="438">
        <v>3200</v>
      </c>
      <c r="G232" s="437"/>
      <c r="H232" s="439"/>
      <c r="I232" s="438"/>
      <c r="J232" s="438"/>
      <c r="K232" s="437"/>
      <c r="L232" s="439">
        <f t="shared" si="28"/>
        <v>3200</v>
      </c>
      <c r="M232" s="438">
        <f t="shared" si="28"/>
        <v>0</v>
      </c>
      <c r="N232" s="438">
        <f t="shared" si="28"/>
        <v>3200</v>
      </c>
      <c r="O232" s="437">
        <f t="shared" si="28"/>
        <v>0</v>
      </c>
    </row>
    <row r="233" spans="1:15" ht="13.8" x14ac:dyDescent="0.25">
      <c r="A233" s="567"/>
      <c r="B233" s="513"/>
      <c r="C233" s="575" t="s">
        <v>823</v>
      </c>
      <c r="D233" s="452">
        <v>38560</v>
      </c>
      <c r="E233" s="451">
        <v>38560</v>
      </c>
      <c r="F233" s="451"/>
      <c r="G233" s="450"/>
      <c r="H233" s="452"/>
      <c r="I233" s="451"/>
      <c r="J233" s="451"/>
      <c r="K233" s="450"/>
      <c r="L233" s="452">
        <f t="shared" si="28"/>
        <v>38560</v>
      </c>
      <c r="M233" s="451">
        <f t="shared" si="28"/>
        <v>38560</v>
      </c>
      <c r="N233" s="451">
        <f t="shared" si="28"/>
        <v>0</v>
      </c>
      <c r="O233" s="450">
        <f t="shared" si="28"/>
        <v>0</v>
      </c>
    </row>
    <row r="234" spans="1:15" ht="27.6" x14ac:dyDescent="0.25">
      <c r="A234" s="567"/>
      <c r="B234" s="513"/>
      <c r="C234" s="575" t="s">
        <v>824</v>
      </c>
      <c r="D234" s="452">
        <v>2962</v>
      </c>
      <c r="E234" s="451">
        <v>2962</v>
      </c>
      <c r="F234" s="451"/>
      <c r="G234" s="450"/>
      <c r="H234" s="452"/>
      <c r="I234" s="451"/>
      <c r="J234" s="451"/>
      <c r="K234" s="450"/>
      <c r="L234" s="452">
        <f t="shared" si="28"/>
        <v>2962</v>
      </c>
      <c r="M234" s="451">
        <f t="shared" si="28"/>
        <v>2962</v>
      </c>
      <c r="N234" s="451">
        <f t="shared" si="28"/>
        <v>0</v>
      </c>
      <c r="O234" s="450">
        <f t="shared" si="28"/>
        <v>0</v>
      </c>
    </row>
    <row r="235" spans="1:15" ht="13.8" x14ac:dyDescent="0.25">
      <c r="A235" s="567"/>
      <c r="B235" s="513"/>
      <c r="C235" s="575" t="s">
        <v>825</v>
      </c>
      <c r="D235" s="452">
        <v>53683</v>
      </c>
      <c r="E235" s="451">
        <v>53683</v>
      </c>
      <c r="F235" s="451"/>
      <c r="G235" s="450"/>
      <c r="H235" s="452"/>
      <c r="I235" s="451"/>
      <c r="J235" s="451"/>
      <c r="K235" s="450"/>
      <c r="L235" s="452">
        <f t="shared" si="28"/>
        <v>53683</v>
      </c>
      <c r="M235" s="451">
        <f t="shared" si="28"/>
        <v>53683</v>
      </c>
      <c r="N235" s="451">
        <f t="shared" si="28"/>
        <v>0</v>
      </c>
      <c r="O235" s="450">
        <f t="shared" si="28"/>
        <v>0</v>
      </c>
    </row>
    <row r="236" spans="1:15" ht="13.8" x14ac:dyDescent="0.25">
      <c r="A236" s="567"/>
      <c r="B236" s="513"/>
      <c r="C236" s="563" t="s">
        <v>826</v>
      </c>
      <c r="D236" s="439">
        <v>125063</v>
      </c>
      <c r="E236" s="438">
        <v>125063</v>
      </c>
      <c r="F236" s="438"/>
      <c r="G236" s="437"/>
      <c r="H236" s="439"/>
      <c r="I236" s="438"/>
      <c r="J236" s="438"/>
      <c r="K236" s="437"/>
      <c r="L236" s="439">
        <f t="shared" si="28"/>
        <v>125063</v>
      </c>
      <c r="M236" s="438">
        <f t="shared" si="28"/>
        <v>125063</v>
      </c>
      <c r="N236" s="438">
        <f t="shared" si="28"/>
        <v>0</v>
      </c>
      <c r="O236" s="437">
        <f t="shared" si="28"/>
        <v>0</v>
      </c>
    </row>
    <row r="237" spans="1:15" ht="27.6" x14ac:dyDescent="0.25">
      <c r="A237" s="567"/>
      <c r="B237" s="513"/>
      <c r="C237" s="580" t="s">
        <v>827</v>
      </c>
      <c r="D237" s="439">
        <v>18221</v>
      </c>
      <c r="E237" s="438">
        <v>18221</v>
      </c>
      <c r="F237" s="438"/>
      <c r="G237" s="437"/>
      <c r="H237" s="439"/>
      <c r="I237" s="438"/>
      <c r="J237" s="438"/>
      <c r="K237" s="437"/>
      <c r="L237" s="439">
        <f t="shared" si="28"/>
        <v>18221</v>
      </c>
      <c r="M237" s="438">
        <f t="shared" si="28"/>
        <v>18221</v>
      </c>
      <c r="N237" s="438">
        <f t="shared" si="28"/>
        <v>0</v>
      </c>
      <c r="O237" s="437">
        <f t="shared" si="28"/>
        <v>0</v>
      </c>
    </row>
    <row r="238" spans="1:15" ht="27.6" x14ac:dyDescent="0.25">
      <c r="A238" s="442"/>
      <c r="B238" s="576"/>
      <c r="C238" s="580" t="s">
        <v>828</v>
      </c>
      <c r="D238" s="439">
        <v>238735</v>
      </c>
      <c r="E238" s="438">
        <v>238735</v>
      </c>
      <c r="F238" s="438"/>
      <c r="G238" s="437"/>
      <c r="H238" s="439"/>
      <c r="I238" s="438"/>
      <c r="J238" s="438"/>
      <c r="K238" s="437"/>
      <c r="L238" s="439">
        <f t="shared" si="28"/>
        <v>238735</v>
      </c>
      <c r="M238" s="438">
        <f t="shared" si="28"/>
        <v>238735</v>
      </c>
      <c r="N238" s="438">
        <f t="shared" si="28"/>
        <v>0</v>
      </c>
      <c r="O238" s="437">
        <f t="shared" si="28"/>
        <v>0</v>
      </c>
    </row>
    <row r="239" spans="1:15" ht="27.6" x14ac:dyDescent="0.25">
      <c r="A239" s="442"/>
      <c r="B239" s="576"/>
      <c r="C239" s="580" t="s">
        <v>829</v>
      </c>
      <c r="D239" s="439">
        <v>153000</v>
      </c>
      <c r="E239" s="438">
        <v>153000</v>
      </c>
      <c r="F239" s="438"/>
      <c r="G239" s="437"/>
      <c r="H239" s="439"/>
      <c r="I239" s="438"/>
      <c r="J239" s="438"/>
      <c r="K239" s="437"/>
      <c r="L239" s="439">
        <f t="shared" si="28"/>
        <v>153000</v>
      </c>
      <c r="M239" s="438">
        <f t="shared" si="28"/>
        <v>153000</v>
      </c>
      <c r="N239" s="438">
        <f t="shared" si="28"/>
        <v>0</v>
      </c>
      <c r="O239" s="437">
        <f t="shared" si="28"/>
        <v>0</v>
      </c>
    </row>
    <row r="240" spans="1:15" ht="27.6" x14ac:dyDescent="0.25">
      <c r="A240" s="442"/>
      <c r="B240" s="576"/>
      <c r="C240" s="580" t="s">
        <v>830</v>
      </c>
      <c r="D240" s="439">
        <v>154000</v>
      </c>
      <c r="E240" s="438">
        <v>154000</v>
      </c>
      <c r="F240" s="438"/>
      <c r="G240" s="437"/>
      <c r="H240" s="439"/>
      <c r="I240" s="438"/>
      <c r="J240" s="438"/>
      <c r="K240" s="437"/>
      <c r="L240" s="439">
        <f t="shared" si="28"/>
        <v>154000</v>
      </c>
      <c r="M240" s="438">
        <f t="shared" si="28"/>
        <v>154000</v>
      </c>
      <c r="N240" s="438">
        <f t="shared" si="28"/>
        <v>0</v>
      </c>
      <c r="O240" s="437">
        <f t="shared" si="28"/>
        <v>0</v>
      </c>
    </row>
    <row r="241" spans="1:15" ht="27.6" x14ac:dyDescent="0.25">
      <c r="A241" s="442"/>
      <c r="B241" s="576"/>
      <c r="C241" s="580" t="s">
        <v>831</v>
      </c>
      <c r="D241" s="439">
        <v>155000</v>
      </c>
      <c r="E241" s="438">
        <v>155000</v>
      </c>
      <c r="F241" s="438"/>
      <c r="G241" s="437"/>
      <c r="H241" s="439"/>
      <c r="I241" s="438"/>
      <c r="J241" s="438"/>
      <c r="K241" s="437"/>
      <c r="L241" s="439">
        <f t="shared" si="28"/>
        <v>155000</v>
      </c>
      <c r="M241" s="438">
        <f t="shared" si="28"/>
        <v>155000</v>
      </c>
      <c r="N241" s="438">
        <f t="shared" si="28"/>
        <v>0</v>
      </c>
      <c r="O241" s="437">
        <f t="shared" si="28"/>
        <v>0</v>
      </c>
    </row>
    <row r="242" spans="1:15" ht="13.8" x14ac:dyDescent="0.25">
      <c r="A242" s="442"/>
      <c r="B242" s="576"/>
      <c r="C242" s="563" t="s">
        <v>832</v>
      </c>
      <c r="D242" s="439">
        <v>24702</v>
      </c>
      <c r="E242" s="438">
        <v>24702</v>
      </c>
      <c r="F242" s="438"/>
      <c r="G242" s="437"/>
      <c r="H242" s="439"/>
      <c r="I242" s="438"/>
      <c r="J242" s="438"/>
      <c r="K242" s="437"/>
      <c r="L242" s="439">
        <f t="shared" si="28"/>
        <v>24702</v>
      </c>
      <c r="M242" s="438">
        <f t="shared" si="28"/>
        <v>24702</v>
      </c>
      <c r="N242" s="438">
        <f t="shared" si="28"/>
        <v>0</v>
      </c>
      <c r="O242" s="437">
        <f t="shared" si="28"/>
        <v>0</v>
      </c>
    </row>
    <row r="243" spans="1:15" ht="13.8" x14ac:dyDescent="0.25">
      <c r="A243" s="442"/>
      <c r="B243" s="576"/>
      <c r="C243" s="575" t="s">
        <v>833</v>
      </c>
      <c r="D243" s="439">
        <v>222999</v>
      </c>
      <c r="E243" s="438">
        <v>222999</v>
      </c>
      <c r="F243" s="438"/>
      <c r="G243" s="437"/>
      <c r="H243" s="439"/>
      <c r="I243" s="438"/>
      <c r="J243" s="438"/>
      <c r="K243" s="437"/>
      <c r="L243" s="439">
        <f t="shared" si="28"/>
        <v>222999</v>
      </c>
      <c r="M243" s="438">
        <f t="shared" si="28"/>
        <v>222999</v>
      </c>
      <c r="N243" s="438">
        <f t="shared" si="28"/>
        <v>0</v>
      </c>
      <c r="O243" s="437">
        <f t="shared" si="28"/>
        <v>0</v>
      </c>
    </row>
    <row r="244" spans="1:15" ht="13.8" x14ac:dyDescent="0.25">
      <c r="A244" s="442"/>
      <c r="B244" s="576"/>
      <c r="C244" s="575" t="s">
        <v>834</v>
      </c>
      <c r="D244" s="439">
        <v>5000</v>
      </c>
      <c r="E244" s="438">
        <v>5000</v>
      </c>
      <c r="F244" s="438"/>
      <c r="G244" s="437"/>
      <c r="H244" s="439"/>
      <c r="I244" s="438"/>
      <c r="J244" s="438"/>
      <c r="K244" s="437"/>
      <c r="L244" s="439">
        <f t="shared" si="28"/>
        <v>5000</v>
      </c>
      <c r="M244" s="438">
        <f t="shared" si="28"/>
        <v>5000</v>
      </c>
      <c r="N244" s="438">
        <f t="shared" si="28"/>
        <v>0</v>
      </c>
      <c r="O244" s="437">
        <f t="shared" si="28"/>
        <v>0</v>
      </c>
    </row>
    <row r="245" spans="1:15" ht="13.8" x14ac:dyDescent="0.25">
      <c r="A245" s="442"/>
      <c r="B245" s="576"/>
      <c r="C245" s="575" t="s">
        <v>835</v>
      </c>
      <c r="D245" s="439">
        <v>35785</v>
      </c>
      <c r="E245" s="438">
        <v>35785</v>
      </c>
      <c r="F245" s="438"/>
      <c r="G245" s="437"/>
      <c r="H245" s="439"/>
      <c r="I245" s="438"/>
      <c r="J245" s="438"/>
      <c r="K245" s="437"/>
      <c r="L245" s="439">
        <f t="shared" si="28"/>
        <v>35785</v>
      </c>
      <c r="M245" s="438">
        <f t="shared" si="28"/>
        <v>35785</v>
      </c>
      <c r="N245" s="438">
        <f t="shared" si="28"/>
        <v>0</v>
      </c>
      <c r="O245" s="437">
        <f t="shared" si="28"/>
        <v>0</v>
      </c>
    </row>
    <row r="246" spans="1:15" ht="13.8" x14ac:dyDescent="0.25">
      <c r="A246" s="442"/>
      <c r="B246" s="576"/>
      <c r="C246" s="580" t="s">
        <v>836</v>
      </c>
      <c r="D246" s="439">
        <v>6000</v>
      </c>
      <c r="E246" s="438">
        <v>6000</v>
      </c>
      <c r="F246" s="438"/>
      <c r="G246" s="437"/>
      <c r="H246" s="439"/>
      <c r="I246" s="438"/>
      <c r="J246" s="438"/>
      <c r="K246" s="437"/>
      <c r="L246" s="439">
        <f t="shared" si="28"/>
        <v>6000</v>
      </c>
      <c r="M246" s="438">
        <f t="shared" si="28"/>
        <v>6000</v>
      </c>
      <c r="N246" s="438">
        <f t="shared" si="28"/>
        <v>0</v>
      </c>
      <c r="O246" s="437">
        <f t="shared" si="28"/>
        <v>0</v>
      </c>
    </row>
    <row r="247" spans="1:15" ht="13.8" x14ac:dyDescent="0.25">
      <c r="A247" s="442"/>
      <c r="B247" s="576"/>
      <c r="C247" s="580" t="s">
        <v>837</v>
      </c>
      <c r="D247" s="439">
        <v>1000</v>
      </c>
      <c r="E247" s="438">
        <v>1000</v>
      </c>
      <c r="F247" s="438"/>
      <c r="G247" s="437"/>
      <c r="H247" s="439">
        <v>-1000</v>
      </c>
      <c r="I247" s="438">
        <v>-1000</v>
      </c>
      <c r="J247" s="438">
        <v>0</v>
      </c>
      <c r="K247" s="437">
        <v>0</v>
      </c>
      <c r="L247" s="439">
        <f t="shared" si="28"/>
        <v>0</v>
      </c>
      <c r="M247" s="438">
        <f t="shared" si="28"/>
        <v>0</v>
      </c>
      <c r="N247" s="438">
        <f t="shared" si="28"/>
        <v>0</v>
      </c>
      <c r="O247" s="437">
        <f t="shared" si="28"/>
        <v>0</v>
      </c>
    </row>
    <row r="248" spans="1:15" ht="13.8" x14ac:dyDescent="0.25">
      <c r="A248" s="442"/>
      <c r="B248" s="576"/>
      <c r="C248" s="580" t="s">
        <v>838</v>
      </c>
      <c r="D248" s="439">
        <v>26036</v>
      </c>
      <c r="E248" s="438">
        <v>26036</v>
      </c>
      <c r="F248" s="438"/>
      <c r="G248" s="437"/>
      <c r="H248" s="439">
        <v>1964</v>
      </c>
      <c r="I248" s="438">
        <v>1964</v>
      </c>
      <c r="J248" s="438">
        <v>0</v>
      </c>
      <c r="K248" s="437">
        <v>0</v>
      </c>
      <c r="L248" s="439">
        <f t="shared" si="28"/>
        <v>28000</v>
      </c>
      <c r="M248" s="438">
        <f t="shared" si="28"/>
        <v>28000</v>
      </c>
      <c r="N248" s="438">
        <f t="shared" si="28"/>
        <v>0</v>
      </c>
      <c r="O248" s="437">
        <f t="shared" si="28"/>
        <v>0</v>
      </c>
    </row>
    <row r="249" spans="1:15" ht="13.8" x14ac:dyDescent="0.25">
      <c r="A249" s="442"/>
      <c r="B249" s="576"/>
      <c r="C249" s="580" t="s">
        <v>1067</v>
      </c>
      <c r="D249" s="439"/>
      <c r="E249" s="438"/>
      <c r="F249" s="438"/>
      <c r="G249" s="437"/>
      <c r="H249" s="439">
        <v>5722</v>
      </c>
      <c r="I249" s="438">
        <v>5722</v>
      </c>
      <c r="J249" s="438">
        <v>0</v>
      </c>
      <c r="K249" s="437">
        <v>0</v>
      </c>
      <c r="L249" s="439">
        <f t="shared" si="28"/>
        <v>5722</v>
      </c>
      <c r="M249" s="438">
        <f t="shared" si="28"/>
        <v>5722</v>
      </c>
      <c r="N249" s="438">
        <f t="shared" si="28"/>
        <v>0</v>
      </c>
      <c r="O249" s="437">
        <f t="shared" si="28"/>
        <v>0</v>
      </c>
    </row>
    <row r="250" spans="1:15" ht="13.8" x14ac:dyDescent="0.25">
      <c r="A250" s="442"/>
      <c r="B250" s="576"/>
      <c r="C250" s="583" t="s">
        <v>1068</v>
      </c>
      <c r="D250" s="439"/>
      <c r="E250" s="438"/>
      <c r="F250" s="438"/>
      <c r="G250" s="437"/>
      <c r="H250" s="439">
        <v>9289</v>
      </c>
      <c r="I250" s="438">
        <v>9289</v>
      </c>
      <c r="J250" s="438">
        <v>0</v>
      </c>
      <c r="K250" s="437">
        <v>0</v>
      </c>
      <c r="L250" s="439">
        <f t="shared" si="28"/>
        <v>9289</v>
      </c>
      <c r="M250" s="438">
        <f t="shared" si="28"/>
        <v>9289</v>
      </c>
      <c r="N250" s="438">
        <f t="shared" si="28"/>
        <v>0</v>
      </c>
      <c r="O250" s="437">
        <f t="shared" si="28"/>
        <v>0</v>
      </c>
    </row>
    <row r="251" spans="1:15" ht="13.8" x14ac:dyDescent="0.25">
      <c r="A251" s="442"/>
      <c r="B251" s="576"/>
      <c r="C251" s="580" t="s">
        <v>1069</v>
      </c>
      <c r="D251" s="439"/>
      <c r="E251" s="438"/>
      <c r="F251" s="438"/>
      <c r="G251" s="437"/>
      <c r="H251" s="439">
        <v>3191</v>
      </c>
      <c r="I251" s="438">
        <v>3191</v>
      </c>
      <c r="J251" s="438">
        <v>0</v>
      </c>
      <c r="K251" s="437">
        <v>0</v>
      </c>
      <c r="L251" s="439">
        <f t="shared" si="28"/>
        <v>3191</v>
      </c>
      <c r="M251" s="438">
        <f t="shared" si="28"/>
        <v>3191</v>
      </c>
      <c r="N251" s="438">
        <f t="shared" si="28"/>
        <v>0</v>
      </c>
      <c r="O251" s="437">
        <f t="shared" si="28"/>
        <v>0</v>
      </c>
    </row>
    <row r="252" spans="1:15" ht="13.8" x14ac:dyDescent="0.25">
      <c r="A252" s="567"/>
      <c r="B252" s="513"/>
      <c r="C252" s="575"/>
      <c r="D252" s="452"/>
      <c r="E252" s="451"/>
      <c r="F252" s="451"/>
      <c r="G252" s="450"/>
      <c r="H252" s="452"/>
      <c r="I252" s="451"/>
      <c r="J252" s="451"/>
      <c r="K252" s="450"/>
      <c r="L252" s="452"/>
      <c r="M252" s="451"/>
      <c r="N252" s="451"/>
      <c r="O252" s="450"/>
    </row>
    <row r="253" spans="1:15" ht="14.4" x14ac:dyDescent="0.3">
      <c r="A253" s="567"/>
      <c r="B253" s="513"/>
      <c r="C253" s="577" t="s">
        <v>38</v>
      </c>
      <c r="D253" s="578">
        <f t="shared" ref="D253:K253" si="32">SUM(D228:D252)</f>
        <v>1299458</v>
      </c>
      <c r="E253" s="501">
        <f t="shared" si="32"/>
        <v>1296258</v>
      </c>
      <c r="F253" s="501">
        <f t="shared" si="32"/>
        <v>3200</v>
      </c>
      <c r="G253" s="579">
        <f t="shared" si="32"/>
        <v>0</v>
      </c>
      <c r="H253" s="578">
        <f t="shared" si="32"/>
        <v>19166</v>
      </c>
      <c r="I253" s="501">
        <f t="shared" si="32"/>
        <v>19166</v>
      </c>
      <c r="J253" s="501">
        <f t="shared" si="32"/>
        <v>0</v>
      </c>
      <c r="K253" s="579">
        <f t="shared" si="32"/>
        <v>0</v>
      </c>
      <c r="L253" s="578">
        <f t="shared" si="28"/>
        <v>1318624</v>
      </c>
      <c r="M253" s="501">
        <f t="shared" si="28"/>
        <v>1315424</v>
      </c>
      <c r="N253" s="501">
        <f t="shared" si="28"/>
        <v>3200</v>
      </c>
      <c r="O253" s="579">
        <f t="shared" si="28"/>
        <v>0</v>
      </c>
    </row>
    <row r="254" spans="1:15" x14ac:dyDescent="0.3">
      <c r="A254" s="567"/>
      <c r="B254" s="513"/>
      <c r="C254" s="577"/>
      <c r="D254" s="484"/>
      <c r="E254" s="427"/>
      <c r="F254" s="427"/>
      <c r="G254" s="483"/>
      <c r="H254" s="484"/>
      <c r="I254" s="427"/>
      <c r="J254" s="427"/>
      <c r="K254" s="483"/>
      <c r="L254" s="484"/>
      <c r="M254" s="427"/>
      <c r="N254" s="427"/>
      <c r="O254" s="483"/>
    </row>
    <row r="255" spans="1:15" x14ac:dyDescent="0.3">
      <c r="A255" s="567"/>
      <c r="B255" s="513" t="s">
        <v>21</v>
      </c>
      <c r="C255" s="563" t="s">
        <v>20</v>
      </c>
      <c r="D255" s="484"/>
      <c r="E255" s="427"/>
      <c r="F255" s="427"/>
      <c r="G255" s="483"/>
      <c r="H255" s="484"/>
      <c r="I255" s="427"/>
      <c r="J255" s="427"/>
      <c r="K255" s="483"/>
      <c r="L255" s="484"/>
      <c r="M255" s="427"/>
      <c r="N255" s="427"/>
      <c r="O255" s="483"/>
    </row>
    <row r="256" spans="1:15" ht="27.6" x14ac:dyDescent="0.25">
      <c r="A256" s="442"/>
      <c r="B256" s="576"/>
      <c r="C256" s="575" t="s">
        <v>839</v>
      </c>
      <c r="D256" s="439">
        <v>1000</v>
      </c>
      <c r="E256" s="438">
        <v>1000</v>
      </c>
      <c r="F256" s="438"/>
      <c r="G256" s="437"/>
      <c r="H256" s="439"/>
      <c r="I256" s="438"/>
      <c r="J256" s="438"/>
      <c r="K256" s="437"/>
      <c r="L256" s="439">
        <f t="shared" si="28"/>
        <v>1000</v>
      </c>
      <c r="M256" s="438">
        <f t="shared" si="28"/>
        <v>1000</v>
      </c>
      <c r="N256" s="438">
        <f t="shared" si="28"/>
        <v>0</v>
      </c>
      <c r="O256" s="437">
        <f t="shared" si="28"/>
        <v>0</v>
      </c>
    </row>
    <row r="257" spans="1:15" ht="27.6" x14ac:dyDescent="0.25">
      <c r="A257" s="567"/>
      <c r="B257" s="513"/>
      <c r="C257" s="580" t="s">
        <v>840</v>
      </c>
      <c r="D257" s="439">
        <v>233782</v>
      </c>
      <c r="E257" s="438">
        <v>233782</v>
      </c>
      <c r="F257" s="438"/>
      <c r="G257" s="437"/>
      <c r="H257" s="439"/>
      <c r="I257" s="438"/>
      <c r="J257" s="438"/>
      <c r="K257" s="437"/>
      <c r="L257" s="439">
        <f t="shared" si="28"/>
        <v>233782</v>
      </c>
      <c r="M257" s="438">
        <f t="shared" si="28"/>
        <v>233782</v>
      </c>
      <c r="N257" s="438">
        <f t="shared" si="28"/>
        <v>0</v>
      </c>
      <c r="O257" s="437">
        <f t="shared" si="28"/>
        <v>0</v>
      </c>
    </row>
    <row r="258" spans="1:15" ht="27.6" x14ac:dyDescent="0.25">
      <c r="A258" s="442"/>
      <c r="B258" s="576"/>
      <c r="C258" s="575" t="s">
        <v>841</v>
      </c>
      <c r="D258" s="439">
        <v>113030</v>
      </c>
      <c r="E258" s="438">
        <v>113030</v>
      </c>
      <c r="F258" s="438"/>
      <c r="G258" s="437"/>
      <c r="H258" s="439"/>
      <c r="I258" s="438"/>
      <c r="J258" s="438"/>
      <c r="K258" s="437"/>
      <c r="L258" s="439">
        <f t="shared" si="28"/>
        <v>113030</v>
      </c>
      <c r="M258" s="438">
        <f t="shared" si="28"/>
        <v>113030</v>
      </c>
      <c r="N258" s="438">
        <f t="shared" si="28"/>
        <v>0</v>
      </c>
      <c r="O258" s="437">
        <f t="shared" si="28"/>
        <v>0</v>
      </c>
    </row>
    <row r="259" spans="1:15" ht="13.8" x14ac:dyDescent="0.25">
      <c r="A259" s="567"/>
      <c r="B259" s="513"/>
      <c r="C259" s="575" t="s">
        <v>842</v>
      </c>
      <c r="D259" s="439">
        <v>64827</v>
      </c>
      <c r="E259" s="438">
        <v>64827</v>
      </c>
      <c r="F259" s="438"/>
      <c r="G259" s="437"/>
      <c r="H259" s="439"/>
      <c r="I259" s="438"/>
      <c r="J259" s="438"/>
      <c r="K259" s="437"/>
      <c r="L259" s="439">
        <f t="shared" si="28"/>
        <v>64827</v>
      </c>
      <c r="M259" s="438">
        <f t="shared" si="28"/>
        <v>64827</v>
      </c>
      <c r="N259" s="438">
        <f t="shared" si="28"/>
        <v>0</v>
      </c>
      <c r="O259" s="437">
        <f t="shared" si="28"/>
        <v>0</v>
      </c>
    </row>
    <row r="260" spans="1:15" ht="27.6" x14ac:dyDescent="0.25">
      <c r="A260" s="567"/>
      <c r="B260" s="513"/>
      <c r="C260" s="575" t="s">
        <v>843</v>
      </c>
      <c r="D260" s="439">
        <v>397743</v>
      </c>
      <c r="E260" s="438">
        <v>397743</v>
      </c>
      <c r="F260" s="438"/>
      <c r="G260" s="437"/>
      <c r="H260" s="439"/>
      <c r="I260" s="438"/>
      <c r="J260" s="438"/>
      <c r="K260" s="437"/>
      <c r="L260" s="439">
        <f t="shared" si="28"/>
        <v>397743</v>
      </c>
      <c r="M260" s="438">
        <f t="shared" si="28"/>
        <v>397743</v>
      </c>
      <c r="N260" s="438">
        <f t="shared" si="28"/>
        <v>0</v>
      </c>
      <c r="O260" s="437">
        <f t="shared" si="28"/>
        <v>0</v>
      </c>
    </row>
    <row r="261" spans="1:15" ht="13.8" x14ac:dyDescent="0.25">
      <c r="A261" s="567"/>
      <c r="B261" s="513"/>
      <c r="C261" s="580" t="s">
        <v>844</v>
      </c>
      <c r="D261" s="439">
        <v>143213</v>
      </c>
      <c r="E261" s="438">
        <v>143213</v>
      </c>
      <c r="F261" s="438"/>
      <c r="G261" s="437"/>
      <c r="H261" s="439"/>
      <c r="I261" s="438"/>
      <c r="J261" s="438"/>
      <c r="K261" s="437"/>
      <c r="L261" s="439">
        <f t="shared" si="28"/>
        <v>143213</v>
      </c>
      <c r="M261" s="438">
        <f t="shared" si="28"/>
        <v>143213</v>
      </c>
      <c r="N261" s="438">
        <f t="shared" si="28"/>
        <v>0</v>
      </c>
      <c r="O261" s="437">
        <f t="shared" si="28"/>
        <v>0</v>
      </c>
    </row>
    <row r="262" spans="1:15" ht="13.8" x14ac:dyDescent="0.25">
      <c r="A262" s="567"/>
      <c r="B262" s="513"/>
      <c r="C262" s="580" t="s">
        <v>845</v>
      </c>
      <c r="D262" s="439">
        <v>124133</v>
      </c>
      <c r="E262" s="438">
        <v>124133</v>
      </c>
      <c r="F262" s="438"/>
      <c r="G262" s="437"/>
      <c r="H262" s="439"/>
      <c r="I262" s="438"/>
      <c r="J262" s="438"/>
      <c r="K262" s="437"/>
      <c r="L262" s="439">
        <f t="shared" si="28"/>
        <v>124133</v>
      </c>
      <c r="M262" s="438">
        <f t="shared" si="28"/>
        <v>124133</v>
      </c>
      <c r="N262" s="438">
        <f t="shared" si="28"/>
        <v>0</v>
      </c>
      <c r="O262" s="437">
        <f t="shared" si="28"/>
        <v>0</v>
      </c>
    </row>
    <row r="263" spans="1:15" ht="13.8" x14ac:dyDescent="0.25">
      <c r="A263" s="442"/>
      <c r="B263" s="576"/>
      <c r="C263" s="563" t="s">
        <v>846</v>
      </c>
      <c r="D263" s="439">
        <v>5525</v>
      </c>
      <c r="E263" s="438">
        <v>5525</v>
      </c>
      <c r="F263" s="438"/>
      <c r="G263" s="437"/>
      <c r="H263" s="439"/>
      <c r="I263" s="438"/>
      <c r="J263" s="438"/>
      <c r="K263" s="437"/>
      <c r="L263" s="439">
        <f t="shared" si="28"/>
        <v>5525</v>
      </c>
      <c r="M263" s="438">
        <f t="shared" si="28"/>
        <v>5525</v>
      </c>
      <c r="N263" s="438">
        <f t="shared" si="28"/>
        <v>0</v>
      </c>
      <c r="O263" s="437">
        <f t="shared" si="28"/>
        <v>0</v>
      </c>
    </row>
    <row r="264" spans="1:15" ht="13.8" x14ac:dyDescent="0.25">
      <c r="A264" s="442"/>
      <c r="B264" s="576"/>
      <c r="C264" s="563" t="s">
        <v>847</v>
      </c>
      <c r="D264" s="439">
        <v>10300</v>
      </c>
      <c r="E264" s="438">
        <v>10300</v>
      </c>
      <c r="F264" s="438"/>
      <c r="G264" s="437"/>
      <c r="H264" s="439"/>
      <c r="I264" s="438"/>
      <c r="J264" s="438"/>
      <c r="K264" s="437"/>
      <c r="L264" s="439">
        <f t="shared" si="28"/>
        <v>10300</v>
      </c>
      <c r="M264" s="438">
        <f t="shared" si="28"/>
        <v>10300</v>
      </c>
      <c r="N264" s="438">
        <f t="shared" si="28"/>
        <v>0</v>
      </c>
      <c r="O264" s="437">
        <f t="shared" si="28"/>
        <v>0</v>
      </c>
    </row>
    <row r="265" spans="1:15" ht="13.8" x14ac:dyDescent="0.25">
      <c r="A265" s="442"/>
      <c r="B265" s="576"/>
      <c r="C265" s="575" t="s">
        <v>848</v>
      </c>
      <c r="D265" s="439">
        <v>6041</v>
      </c>
      <c r="E265" s="438">
        <v>6041</v>
      </c>
      <c r="F265" s="438"/>
      <c r="G265" s="437"/>
      <c r="H265" s="439"/>
      <c r="I265" s="438"/>
      <c r="J265" s="438"/>
      <c r="K265" s="437"/>
      <c r="L265" s="439">
        <f t="shared" si="28"/>
        <v>6041</v>
      </c>
      <c r="M265" s="438">
        <f t="shared" si="28"/>
        <v>6041</v>
      </c>
      <c r="N265" s="438">
        <f t="shared" si="28"/>
        <v>0</v>
      </c>
      <c r="O265" s="437">
        <f t="shared" si="28"/>
        <v>0</v>
      </c>
    </row>
    <row r="266" spans="1:15" ht="13.8" x14ac:dyDescent="0.25">
      <c r="A266" s="442"/>
      <c r="B266" s="576"/>
      <c r="C266" s="575" t="s">
        <v>849</v>
      </c>
      <c r="D266" s="439">
        <v>22000</v>
      </c>
      <c r="E266" s="438">
        <v>22000</v>
      </c>
      <c r="F266" s="438"/>
      <c r="G266" s="437"/>
      <c r="H266" s="439">
        <v>4000</v>
      </c>
      <c r="I266" s="438">
        <v>4000</v>
      </c>
      <c r="J266" s="438"/>
      <c r="K266" s="437"/>
      <c r="L266" s="439">
        <f t="shared" si="28"/>
        <v>26000</v>
      </c>
      <c r="M266" s="438">
        <f t="shared" si="28"/>
        <v>26000</v>
      </c>
      <c r="N266" s="438">
        <f t="shared" si="28"/>
        <v>0</v>
      </c>
      <c r="O266" s="437">
        <f t="shared" si="28"/>
        <v>0</v>
      </c>
    </row>
    <row r="267" spans="1:15" ht="13.8" x14ac:dyDescent="0.25">
      <c r="A267" s="567"/>
      <c r="B267" s="513"/>
      <c r="C267" s="580" t="s">
        <v>850</v>
      </c>
      <c r="D267" s="439">
        <v>1400</v>
      </c>
      <c r="E267" s="438">
        <v>1400</v>
      </c>
      <c r="F267" s="438"/>
      <c r="G267" s="437"/>
      <c r="H267" s="439"/>
      <c r="I267" s="438"/>
      <c r="J267" s="438"/>
      <c r="K267" s="437"/>
      <c r="L267" s="439">
        <f t="shared" si="28"/>
        <v>1400</v>
      </c>
      <c r="M267" s="438">
        <f t="shared" si="28"/>
        <v>1400</v>
      </c>
      <c r="N267" s="438">
        <f t="shared" si="28"/>
        <v>0</v>
      </c>
      <c r="O267" s="437">
        <f t="shared" si="28"/>
        <v>0</v>
      </c>
    </row>
    <row r="268" spans="1:15" ht="13.8" x14ac:dyDescent="0.25">
      <c r="A268" s="567"/>
      <c r="B268" s="513"/>
      <c r="C268" s="575" t="s">
        <v>851</v>
      </c>
      <c r="D268" s="439">
        <v>82340</v>
      </c>
      <c r="E268" s="438">
        <v>82340</v>
      </c>
      <c r="F268" s="438"/>
      <c r="G268" s="437"/>
      <c r="H268" s="439"/>
      <c r="I268" s="438"/>
      <c r="J268" s="438"/>
      <c r="K268" s="437"/>
      <c r="L268" s="439">
        <f t="shared" si="28"/>
        <v>82340</v>
      </c>
      <c r="M268" s="438">
        <f t="shared" si="28"/>
        <v>82340</v>
      </c>
      <c r="N268" s="438">
        <f t="shared" si="28"/>
        <v>0</v>
      </c>
      <c r="O268" s="437">
        <f t="shared" si="28"/>
        <v>0</v>
      </c>
    </row>
    <row r="269" spans="1:15" ht="13.8" x14ac:dyDescent="0.25">
      <c r="A269" s="567"/>
      <c r="B269" s="513"/>
      <c r="C269" s="575" t="s">
        <v>852</v>
      </c>
      <c r="D269" s="439">
        <v>5207</v>
      </c>
      <c r="E269" s="438">
        <v>5207</v>
      </c>
      <c r="F269" s="438"/>
      <c r="G269" s="437"/>
      <c r="H269" s="439">
        <v>1080</v>
      </c>
      <c r="I269" s="438">
        <v>1080</v>
      </c>
      <c r="J269" s="438"/>
      <c r="K269" s="437"/>
      <c r="L269" s="439">
        <f t="shared" si="28"/>
        <v>6287</v>
      </c>
      <c r="M269" s="438">
        <f t="shared" si="28"/>
        <v>6287</v>
      </c>
      <c r="N269" s="438">
        <f t="shared" si="28"/>
        <v>0</v>
      </c>
      <c r="O269" s="437">
        <f t="shared" si="28"/>
        <v>0</v>
      </c>
    </row>
    <row r="270" spans="1:15" ht="13.8" x14ac:dyDescent="0.25">
      <c r="A270" s="567"/>
      <c r="B270" s="513"/>
      <c r="C270" s="575" t="s">
        <v>1070</v>
      </c>
      <c r="D270" s="439"/>
      <c r="E270" s="438"/>
      <c r="F270" s="438"/>
      <c r="G270" s="437"/>
      <c r="H270" s="439">
        <v>101631</v>
      </c>
      <c r="I270" s="438">
        <v>101631</v>
      </c>
      <c r="J270" s="438">
        <v>0</v>
      </c>
      <c r="K270" s="437">
        <v>0</v>
      </c>
      <c r="L270" s="439">
        <f t="shared" si="28"/>
        <v>101631</v>
      </c>
      <c r="M270" s="438">
        <f t="shared" si="28"/>
        <v>101631</v>
      </c>
      <c r="N270" s="438">
        <f t="shared" si="28"/>
        <v>0</v>
      </c>
      <c r="O270" s="437">
        <f t="shared" si="28"/>
        <v>0</v>
      </c>
    </row>
    <row r="271" spans="1:15" ht="13.8" x14ac:dyDescent="0.25">
      <c r="A271" s="567"/>
      <c r="B271" s="513"/>
      <c r="C271" s="575" t="s">
        <v>1071</v>
      </c>
      <c r="D271" s="439"/>
      <c r="E271" s="438"/>
      <c r="F271" s="438"/>
      <c r="G271" s="437"/>
      <c r="H271" s="439">
        <v>2800</v>
      </c>
      <c r="I271" s="438">
        <v>2800</v>
      </c>
      <c r="J271" s="438">
        <v>0</v>
      </c>
      <c r="K271" s="437">
        <v>0</v>
      </c>
      <c r="L271" s="439">
        <f t="shared" si="28"/>
        <v>2800</v>
      </c>
      <c r="M271" s="438">
        <f t="shared" si="28"/>
        <v>2800</v>
      </c>
      <c r="N271" s="438">
        <f t="shared" si="28"/>
        <v>0</v>
      </c>
      <c r="O271" s="437">
        <f t="shared" si="28"/>
        <v>0</v>
      </c>
    </row>
    <row r="272" spans="1:15" ht="13.8" x14ac:dyDescent="0.25">
      <c r="A272" s="567"/>
      <c r="B272" s="513"/>
      <c r="C272" s="575" t="s">
        <v>1072</v>
      </c>
      <c r="D272" s="439"/>
      <c r="E272" s="438"/>
      <c r="F272" s="438"/>
      <c r="G272" s="437"/>
      <c r="H272" s="439">
        <v>4000</v>
      </c>
      <c r="I272" s="438">
        <v>4000</v>
      </c>
      <c r="J272" s="438">
        <v>0</v>
      </c>
      <c r="K272" s="437">
        <v>0</v>
      </c>
      <c r="L272" s="439">
        <f t="shared" si="28"/>
        <v>4000</v>
      </c>
      <c r="M272" s="438">
        <f t="shared" si="28"/>
        <v>4000</v>
      </c>
      <c r="N272" s="438">
        <f t="shared" si="28"/>
        <v>0</v>
      </c>
      <c r="O272" s="437">
        <f t="shared" si="28"/>
        <v>0</v>
      </c>
    </row>
    <row r="273" spans="1:15" ht="13.8" x14ac:dyDescent="0.25">
      <c r="A273" s="567"/>
      <c r="B273" s="513"/>
      <c r="C273" s="575" t="s">
        <v>1073</v>
      </c>
      <c r="D273" s="439"/>
      <c r="E273" s="438"/>
      <c r="F273" s="438"/>
      <c r="G273" s="437"/>
      <c r="H273" s="439">
        <v>1983</v>
      </c>
      <c r="I273" s="438">
        <v>1983</v>
      </c>
      <c r="J273" s="438">
        <v>0</v>
      </c>
      <c r="K273" s="437">
        <v>0</v>
      </c>
      <c r="L273" s="439">
        <f t="shared" si="28"/>
        <v>1983</v>
      </c>
      <c r="M273" s="438">
        <f t="shared" si="28"/>
        <v>1983</v>
      </c>
      <c r="N273" s="438">
        <f t="shared" si="28"/>
        <v>0</v>
      </c>
      <c r="O273" s="437">
        <f t="shared" si="28"/>
        <v>0</v>
      </c>
    </row>
    <row r="274" spans="1:15" ht="13.8" x14ac:dyDescent="0.25">
      <c r="A274" s="567"/>
      <c r="B274" s="513"/>
      <c r="C274" s="580"/>
      <c r="D274" s="439"/>
      <c r="E274" s="438"/>
      <c r="F274" s="438"/>
      <c r="G274" s="437"/>
      <c r="H274" s="439"/>
      <c r="I274" s="438"/>
      <c r="J274" s="438"/>
      <c r="K274" s="437"/>
      <c r="L274" s="439"/>
      <c r="M274" s="438"/>
      <c r="N274" s="438"/>
      <c r="O274" s="437"/>
    </row>
    <row r="275" spans="1:15" ht="14.4" x14ac:dyDescent="0.3">
      <c r="A275" s="567"/>
      <c r="B275" s="513"/>
      <c r="C275" s="577" t="s">
        <v>39</v>
      </c>
      <c r="D275" s="578">
        <f t="shared" ref="D275:K275" si="33">SUM(D256:D274)</f>
        <v>1210541</v>
      </c>
      <c r="E275" s="501">
        <f t="shared" si="33"/>
        <v>1210541</v>
      </c>
      <c r="F275" s="501">
        <f t="shared" si="33"/>
        <v>0</v>
      </c>
      <c r="G275" s="579">
        <f t="shared" si="33"/>
        <v>0</v>
      </c>
      <c r="H275" s="578">
        <f t="shared" si="33"/>
        <v>115494</v>
      </c>
      <c r="I275" s="501">
        <f t="shared" si="33"/>
        <v>115494</v>
      </c>
      <c r="J275" s="501">
        <f t="shared" si="33"/>
        <v>0</v>
      </c>
      <c r="K275" s="579">
        <f t="shared" si="33"/>
        <v>0</v>
      </c>
      <c r="L275" s="578">
        <f t="shared" si="28"/>
        <v>1326035</v>
      </c>
      <c r="M275" s="501">
        <f t="shared" si="28"/>
        <v>1326035</v>
      </c>
      <c r="N275" s="501">
        <f t="shared" si="28"/>
        <v>0</v>
      </c>
      <c r="O275" s="579">
        <f t="shared" si="28"/>
        <v>0</v>
      </c>
    </row>
    <row r="276" spans="1:15" ht="14.4" x14ac:dyDescent="0.3">
      <c r="A276" s="567"/>
      <c r="B276" s="582"/>
      <c r="C276" s="577"/>
      <c r="D276" s="439"/>
      <c r="E276" s="438"/>
      <c r="F276" s="438"/>
      <c r="G276" s="437"/>
      <c r="H276" s="439"/>
      <c r="I276" s="438"/>
      <c r="J276" s="438"/>
      <c r="K276" s="437"/>
      <c r="L276" s="439"/>
      <c r="M276" s="438"/>
      <c r="N276" s="438"/>
      <c r="O276" s="437"/>
    </row>
    <row r="277" spans="1:15" ht="13.8" x14ac:dyDescent="0.25">
      <c r="A277" s="567"/>
      <c r="B277" s="513" t="s">
        <v>29</v>
      </c>
      <c r="C277" s="563" t="s">
        <v>51</v>
      </c>
      <c r="D277" s="439"/>
      <c r="E277" s="438"/>
      <c r="F277" s="438"/>
      <c r="G277" s="437"/>
      <c r="H277" s="439"/>
      <c r="I277" s="438"/>
      <c r="J277" s="438"/>
      <c r="K277" s="437"/>
      <c r="L277" s="439"/>
      <c r="M277" s="438"/>
      <c r="N277" s="438"/>
      <c r="O277" s="437"/>
    </row>
    <row r="278" spans="1:15" ht="13.8" x14ac:dyDescent="0.25">
      <c r="A278" s="567"/>
      <c r="B278" s="513"/>
      <c r="C278" s="563" t="s">
        <v>74</v>
      </c>
      <c r="D278" s="439"/>
      <c r="E278" s="438"/>
      <c r="F278" s="438"/>
      <c r="G278" s="437"/>
      <c r="H278" s="439"/>
      <c r="I278" s="438"/>
      <c r="J278" s="438"/>
      <c r="K278" s="437"/>
      <c r="L278" s="439"/>
      <c r="M278" s="438"/>
      <c r="N278" s="438"/>
      <c r="O278" s="437"/>
    </row>
    <row r="279" spans="1:15" ht="13.8" x14ac:dyDescent="0.25">
      <c r="A279" s="567"/>
      <c r="B279" s="513"/>
      <c r="C279" s="563" t="s">
        <v>853</v>
      </c>
      <c r="D279" s="439">
        <v>500</v>
      </c>
      <c r="E279" s="438">
        <v>500</v>
      </c>
      <c r="F279" s="438"/>
      <c r="G279" s="437"/>
      <c r="H279" s="439"/>
      <c r="I279" s="438"/>
      <c r="J279" s="438"/>
      <c r="K279" s="437"/>
      <c r="L279" s="439">
        <f t="shared" si="28"/>
        <v>500</v>
      </c>
      <c r="M279" s="438">
        <f t="shared" si="28"/>
        <v>500</v>
      </c>
      <c r="N279" s="438">
        <f t="shared" si="28"/>
        <v>0</v>
      </c>
      <c r="O279" s="437">
        <f t="shared" si="28"/>
        <v>0</v>
      </c>
    </row>
    <row r="280" spans="1:15" ht="13.8" x14ac:dyDescent="0.25">
      <c r="A280" s="567"/>
      <c r="B280" s="513"/>
      <c r="C280" s="575" t="s">
        <v>1074</v>
      </c>
      <c r="D280" s="439"/>
      <c r="E280" s="438"/>
      <c r="F280" s="438"/>
      <c r="G280" s="437"/>
      <c r="H280" s="439">
        <v>331</v>
      </c>
      <c r="I280" s="438">
        <v>331</v>
      </c>
      <c r="J280" s="438">
        <v>0</v>
      </c>
      <c r="K280" s="437">
        <v>0</v>
      </c>
      <c r="L280" s="439">
        <f t="shared" si="28"/>
        <v>331</v>
      </c>
      <c r="M280" s="438">
        <f t="shared" si="28"/>
        <v>331</v>
      </c>
      <c r="N280" s="438">
        <f t="shared" si="28"/>
        <v>0</v>
      </c>
      <c r="O280" s="437">
        <f t="shared" si="28"/>
        <v>0</v>
      </c>
    </row>
    <row r="281" spans="1:15" ht="13.8" x14ac:dyDescent="0.25">
      <c r="A281" s="567"/>
      <c r="B281" s="513"/>
      <c r="C281" s="563"/>
      <c r="D281" s="439"/>
      <c r="E281" s="438"/>
      <c r="F281" s="438"/>
      <c r="G281" s="437"/>
      <c r="H281" s="439"/>
      <c r="I281" s="438"/>
      <c r="J281" s="438"/>
      <c r="K281" s="437"/>
      <c r="L281" s="439"/>
      <c r="M281" s="438"/>
      <c r="N281" s="438"/>
      <c r="O281" s="437"/>
    </row>
    <row r="282" spans="1:15" ht="14.4" x14ac:dyDescent="0.3">
      <c r="A282" s="442"/>
      <c r="B282" s="513"/>
      <c r="C282" s="565" t="s">
        <v>24</v>
      </c>
      <c r="D282" s="578">
        <f t="shared" ref="D282:K282" si="34">SUM(D279:D281)</f>
        <v>500</v>
      </c>
      <c r="E282" s="501">
        <f t="shared" si="34"/>
        <v>500</v>
      </c>
      <c r="F282" s="501">
        <f t="shared" si="34"/>
        <v>0</v>
      </c>
      <c r="G282" s="579">
        <f t="shared" si="34"/>
        <v>0</v>
      </c>
      <c r="H282" s="578">
        <f t="shared" si="34"/>
        <v>331</v>
      </c>
      <c r="I282" s="501">
        <f t="shared" si="34"/>
        <v>331</v>
      </c>
      <c r="J282" s="501">
        <f t="shared" si="34"/>
        <v>0</v>
      </c>
      <c r="K282" s="579">
        <f t="shared" si="34"/>
        <v>0</v>
      </c>
      <c r="L282" s="578">
        <f t="shared" si="28"/>
        <v>831</v>
      </c>
      <c r="M282" s="501">
        <f t="shared" si="28"/>
        <v>831</v>
      </c>
      <c r="N282" s="501">
        <f t="shared" si="28"/>
        <v>0</v>
      </c>
      <c r="O282" s="579">
        <f t="shared" si="28"/>
        <v>0</v>
      </c>
    </row>
    <row r="283" spans="1:15" ht="13.8" x14ac:dyDescent="0.25">
      <c r="A283" s="442"/>
      <c r="B283" s="513"/>
      <c r="C283" s="565"/>
      <c r="D283" s="446"/>
      <c r="E283" s="445"/>
      <c r="F283" s="445"/>
      <c r="G283" s="444"/>
      <c r="H283" s="446"/>
      <c r="I283" s="445"/>
      <c r="J283" s="445"/>
      <c r="K283" s="444"/>
      <c r="L283" s="446"/>
      <c r="M283" s="445"/>
      <c r="N283" s="445"/>
      <c r="O283" s="444"/>
    </row>
    <row r="284" spans="1:15" ht="13.8" x14ac:dyDescent="0.25">
      <c r="A284" s="491"/>
      <c r="B284" s="584"/>
      <c r="C284" s="563" t="s">
        <v>75</v>
      </c>
      <c r="D284" s="439"/>
      <c r="E284" s="438"/>
      <c r="F284" s="438"/>
      <c r="G284" s="437"/>
      <c r="H284" s="439"/>
      <c r="I284" s="438"/>
      <c r="J284" s="438"/>
      <c r="K284" s="437"/>
      <c r="L284" s="439"/>
      <c r="M284" s="438"/>
      <c r="N284" s="438"/>
      <c r="O284" s="437"/>
    </row>
    <row r="285" spans="1:15" ht="13.8" x14ac:dyDescent="0.25">
      <c r="A285" s="442"/>
      <c r="B285" s="576"/>
      <c r="C285" s="563" t="s">
        <v>629</v>
      </c>
      <c r="D285" s="439">
        <v>2000</v>
      </c>
      <c r="E285" s="438"/>
      <c r="F285" s="438">
        <v>2000</v>
      </c>
      <c r="G285" s="437"/>
      <c r="H285" s="439">
        <v>800</v>
      </c>
      <c r="I285" s="438"/>
      <c r="J285" s="438">
        <v>800</v>
      </c>
      <c r="K285" s="437"/>
      <c r="L285" s="439">
        <f t="shared" si="28"/>
        <v>2800</v>
      </c>
      <c r="M285" s="438">
        <f t="shared" si="28"/>
        <v>0</v>
      </c>
      <c r="N285" s="438">
        <f t="shared" si="28"/>
        <v>2800</v>
      </c>
      <c r="O285" s="437">
        <f t="shared" si="28"/>
        <v>0</v>
      </c>
    </row>
    <row r="286" spans="1:15" ht="27.6" x14ac:dyDescent="0.25">
      <c r="A286" s="442"/>
      <c r="B286" s="576"/>
      <c r="C286" s="575" t="s">
        <v>630</v>
      </c>
      <c r="D286" s="439">
        <v>13500</v>
      </c>
      <c r="E286" s="438">
        <v>13500</v>
      </c>
      <c r="F286" s="438"/>
      <c r="G286" s="437"/>
      <c r="H286" s="439"/>
      <c r="I286" s="438"/>
      <c r="J286" s="438"/>
      <c r="K286" s="437"/>
      <c r="L286" s="439">
        <f t="shared" si="28"/>
        <v>13500</v>
      </c>
      <c r="M286" s="438">
        <f t="shared" si="28"/>
        <v>13500</v>
      </c>
      <c r="N286" s="438">
        <f t="shared" si="28"/>
        <v>0</v>
      </c>
      <c r="O286" s="437">
        <f t="shared" si="28"/>
        <v>0</v>
      </c>
    </row>
    <row r="287" spans="1:15" ht="13.8" x14ac:dyDescent="0.25">
      <c r="A287" s="442"/>
      <c r="B287" s="576"/>
      <c r="C287" s="563" t="s">
        <v>631</v>
      </c>
      <c r="D287" s="439">
        <v>10000</v>
      </c>
      <c r="E287" s="438">
        <v>10000</v>
      </c>
      <c r="F287" s="438"/>
      <c r="G287" s="437"/>
      <c r="H287" s="439">
        <v>-10000</v>
      </c>
      <c r="I287" s="438">
        <v>-10000</v>
      </c>
      <c r="J287" s="438"/>
      <c r="K287" s="437"/>
      <c r="L287" s="439">
        <f t="shared" si="28"/>
        <v>0</v>
      </c>
      <c r="M287" s="438">
        <f t="shared" si="28"/>
        <v>0</v>
      </c>
      <c r="N287" s="438">
        <f t="shared" si="28"/>
        <v>0</v>
      </c>
      <c r="O287" s="437">
        <f t="shared" si="28"/>
        <v>0</v>
      </c>
    </row>
    <row r="288" spans="1:15" ht="13.8" x14ac:dyDescent="0.25">
      <c r="A288" s="442"/>
      <c r="B288" s="576"/>
      <c r="C288" s="563" t="s">
        <v>1075</v>
      </c>
      <c r="D288" s="439"/>
      <c r="E288" s="438"/>
      <c r="F288" s="438"/>
      <c r="G288" s="437"/>
      <c r="H288" s="439">
        <v>1368</v>
      </c>
      <c r="I288" s="438">
        <v>1368</v>
      </c>
      <c r="J288" s="438"/>
      <c r="K288" s="437"/>
      <c r="L288" s="439">
        <f t="shared" si="28"/>
        <v>1368</v>
      </c>
      <c r="M288" s="438">
        <f t="shared" si="28"/>
        <v>1368</v>
      </c>
      <c r="N288" s="438">
        <f t="shared" si="28"/>
        <v>0</v>
      </c>
      <c r="O288" s="437">
        <f t="shared" si="28"/>
        <v>0</v>
      </c>
    </row>
    <row r="289" spans="1:15" ht="13.8" x14ac:dyDescent="0.25">
      <c r="A289" s="442"/>
      <c r="B289" s="584"/>
      <c r="C289" s="580"/>
      <c r="D289" s="439"/>
      <c r="E289" s="438"/>
      <c r="F289" s="438"/>
      <c r="G289" s="437"/>
      <c r="H289" s="439"/>
      <c r="I289" s="438"/>
      <c r="J289" s="438"/>
      <c r="K289" s="437"/>
      <c r="L289" s="439"/>
      <c r="M289" s="438"/>
      <c r="N289" s="438"/>
      <c r="O289" s="437"/>
    </row>
    <row r="290" spans="1:15" ht="14.4" x14ac:dyDescent="0.3">
      <c r="A290" s="442"/>
      <c r="B290" s="584"/>
      <c r="C290" s="565" t="s">
        <v>24</v>
      </c>
      <c r="D290" s="578">
        <f t="shared" ref="D290:K290" si="35">SUM(D285:D289)</f>
        <v>25500</v>
      </c>
      <c r="E290" s="501">
        <f t="shared" si="35"/>
        <v>23500</v>
      </c>
      <c r="F290" s="501">
        <f t="shared" si="35"/>
        <v>2000</v>
      </c>
      <c r="G290" s="579">
        <f t="shared" si="35"/>
        <v>0</v>
      </c>
      <c r="H290" s="578">
        <f t="shared" si="35"/>
        <v>-7832</v>
      </c>
      <c r="I290" s="501">
        <f t="shared" si="35"/>
        <v>-8632</v>
      </c>
      <c r="J290" s="501">
        <f t="shared" si="35"/>
        <v>800</v>
      </c>
      <c r="K290" s="579">
        <f t="shared" si="35"/>
        <v>0</v>
      </c>
      <c r="L290" s="578">
        <f t="shared" si="28"/>
        <v>17668</v>
      </c>
      <c r="M290" s="501">
        <f t="shared" si="28"/>
        <v>14868</v>
      </c>
      <c r="N290" s="501">
        <f t="shared" si="28"/>
        <v>2800</v>
      </c>
      <c r="O290" s="579">
        <f t="shared" si="28"/>
        <v>0</v>
      </c>
    </row>
    <row r="291" spans="1:15" ht="13.8" x14ac:dyDescent="0.25">
      <c r="A291" s="442"/>
      <c r="B291" s="584"/>
      <c r="C291" s="565"/>
      <c r="D291" s="446"/>
      <c r="E291" s="445"/>
      <c r="F291" s="445"/>
      <c r="G291" s="444"/>
      <c r="H291" s="446"/>
      <c r="I291" s="445"/>
      <c r="J291" s="445"/>
      <c r="K291" s="444"/>
      <c r="L291" s="446"/>
      <c r="M291" s="445"/>
      <c r="N291" s="445"/>
      <c r="O291" s="444"/>
    </row>
    <row r="292" spans="1:15" ht="13.8" x14ac:dyDescent="0.25">
      <c r="A292" s="442"/>
      <c r="B292" s="584"/>
      <c r="C292" s="563" t="s">
        <v>64</v>
      </c>
      <c r="D292" s="446"/>
      <c r="E292" s="445"/>
      <c r="F292" s="445"/>
      <c r="G292" s="444"/>
      <c r="H292" s="446"/>
      <c r="I292" s="445"/>
      <c r="J292" s="445"/>
      <c r="K292" s="444"/>
      <c r="L292" s="446"/>
      <c r="M292" s="445"/>
      <c r="N292" s="445"/>
      <c r="O292" s="444"/>
    </row>
    <row r="293" spans="1:15" ht="27.6" x14ac:dyDescent="0.25">
      <c r="A293" s="442"/>
      <c r="B293" s="576"/>
      <c r="C293" s="575" t="s">
        <v>854</v>
      </c>
      <c r="D293" s="439">
        <v>5000</v>
      </c>
      <c r="E293" s="438">
        <v>5000</v>
      </c>
      <c r="F293" s="438"/>
      <c r="G293" s="437"/>
      <c r="H293" s="439"/>
      <c r="I293" s="438"/>
      <c r="J293" s="438"/>
      <c r="K293" s="437"/>
      <c r="L293" s="439">
        <f t="shared" ref="L293:O316" si="36">D293+H293</f>
        <v>5000</v>
      </c>
      <c r="M293" s="438">
        <f t="shared" si="36"/>
        <v>5000</v>
      </c>
      <c r="N293" s="438">
        <f t="shared" si="36"/>
        <v>0</v>
      </c>
      <c r="O293" s="437">
        <f t="shared" si="36"/>
        <v>0</v>
      </c>
    </row>
    <row r="294" spans="1:15" ht="27.6" x14ac:dyDescent="0.25">
      <c r="A294" s="442"/>
      <c r="B294" s="576"/>
      <c r="C294" s="101" t="s">
        <v>855</v>
      </c>
      <c r="D294" s="439">
        <v>9868</v>
      </c>
      <c r="E294" s="438">
        <v>9868</v>
      </c>
      <c r="F294" s="438"/>
      <c r="G294" s="437"/>
      <c r="H294" s="439"/>
      <c r="I294" s="438"/>
      <c r="J294" s="438"/>
      <c r="K294" s="437"/>
      <c r="L294" s="439">
        <f t="shared" si="36"/>
        <v>9868</v>
      </c>
      <c r="M294" s="438">
        <f t="shared" si="36"/>
        <v>9868</v>
      </c>
      <c r="N294" s="438">
        <f t="shared" si="36"/>
        <v>0</v>
      </c>
      <c r="O294" s="437">
        <f t="shared" si="36"/>
        <v>0</v>
      </c>
    </row>
    <row r="295" spans="1:15" ht="27.6" x14ac:dyDescent="0.25">
      <c r="A295" s="442"/>
      <c r="B295" s="576"/>
      <c r="C295" s="575" t="s">
        <v>856</v>
      </c>
      <c r="D295" s="439">
        <v>203568</v>
      </c>
      <c r="E295" s="438">
        <v>203568</v>
      </c>
      <c r="F295" s="438"/>
      <c r="G295" s="437"/>
      <c r="H295" s="439"/>
      <c r="I295" s="438"/>
      <c r="J295" s="438"/>
      <c r="K295" s="437"/>
      <c r="L295" s="439">
        <f t="shared" si="36"/>
        <v>203568</v>
      </c>
      <c r="M295" s="438">
        <f t="shared" si="36"/>
        <v>203568</v>
      </c>
      <c r="N295" s="438">
        <f t="shared" si="36"/>
        <v>0</v>
      </c>
      <c r="O295" s="437">
        <f t="shared" si="36"/>
        <v>0</v>
      </c>
    </row>
    <row r="296" spans="1:15" ht="27.6" x14ac:dyDescent="0.25">
      <c r="A296" s="442"/>
      <c r="B296" s="576"/>
      <c r="C296" s="575" t="s">
        <v>857</v>
      </c>
      <c r="D296" s="439">
        <v>192160</v>
      </c>
      <c r="E296" s="438">
        <v>192160</v>
      </c>
      <c r="F296" s="438"/>
      <c r="G296" s="437"/>
      <c r="H296" s="439"/>
      <c r="I296" s="438"/>
      <c r="J296" s="438"/>
      <c r="K296" s="437"/>
      <c r="L296" s="439">
        <f t="shared" si="36"/>
        <v>192160</v>
      </c>
      <c r="M296" s="438">
        <f t="shared" si="36"/>
        <v>192160</v>
      </c>
      <c r="N296" s="438">
        <f t="shared" si="36"/>
        <v>0</v>
      </c>
      <c r="O296" s="437">
        <f t="shared" si="36"/>
        <v>0</v>
      </c>
    </row>
    <row r="297" spans="1:15" ht="27.6" x14ac:dyDescent="0.25">
      <c r="A297" s="442"/>
      <c r="B297" s="576"/>
      <c r="C297" s="575" t="s">
        <v>858</v>
      </c>
      <c r="D297" s="439">
        <v>190352</v>
      </c>
      <c r="E297" s="438">
        <v>190352</v>
      </c>
      <c r="F297" s="438"/>
      <c r="G297" s="437"/>
      <c r="H297" s="439"/>
      <c r="I297" s="438"/>
      <c r="J297" s="438"/>
      <c r="K297" s="437"/>
      <c r="L297" s="439">
        <f t="shared" si="36"/>
        <v>190352</v>
      </c>
      <c r="M297" s="438">
        <f t="shared" si="36"/>
        <v>190352</v>
      </c>
      <c r="N297" s="438">
        <f t="shared" si="36"/>
        <v>0</v>
      </c>
      <c r="O297" s="437">
        <f t="shared" si="36"/>
        <v>0</v>
      </c>
    </row>
    <row r="298" spans="1:15" ht="27.6" x14ac:dyDescent="0.25">
      <c r="A298" s="442"/>
      <c r="B298" s="576"/>
      <c r="C298" s="575" t="s">
        <v>859</v>
      </c>
      <c r="D298" s="439">
        <v>61899</v>
      </c>
      <c r="E298" s="438">
        <v>61899</v>
      </c>
      <c r="F298" s="438"/>
      <c r="G298" s="437"/>
      <c r="H298" s="439">
        <v>-61899</v>
      </c>
      <c r="I298" s="438">
        <v>-61899</v>
      </c>
      <c r="J298" s="438"/>
      <c r="K298" s="437"/>
      <c r="L298" s="439">
        <f t="shared" si="36"/>
        <v>0</v>
      </c>
      <c r="M298" s="438">
        <f t="shared" si="36"/>
        <v>0</v>
      </c>
      <c r="N298" s="438">
        <f t="shared" si="36"/>
        <v>0</v>
      </c>
      <c r="O298" s="437">
        <f t="shared" si="36"/>
        <v>0</v>
      </c>
    </row>
    <row r="299" spans="1:15" ht="13.8" x14ac:dyDescent="0.25">
      <c r="A299" s="442"/>
      <c r="B299" s="576"/>
      <c r="C299" s="575" t="s">
        <v>860</v>
      </c>
      <c r="D299" s="439">
        <v>26289</v>
      </c>
      <c r="E299" s="438">
        <v>26289</v>
      </c>
      <c r="F299" s="438"/>
      <c r="G299" s="437"/>
      <c r="H299" s="439"/>
      <c r="I299" s="438"/>
      <c r="J299" s="438"/>
      <c r="K299" s="437"/>
      <c r="L299" s="439">
        <f t="shared" si="36"/>
        <v>26289</v>
      </c>
      <c r="M299" s="438">
        <f t="shared" si="36"/>
        <v>26289</v>
      </c>
      <c r="N299" s="438">
        <f t="shared" si="36"/>
        <v>0</v>
      </c>
      <c r="O299" s="437">
        <f t="shared" si="36"/>
        <v>0</v>
      </c>
    </row>
    <row r="300" spans="1:15" ht="13.8" x14ac:dyDescent="0.25">
      <c r="A300" s="442"/>
      <c r="B300" s="584"/>
      <c r="C300" s="580"/>
      <c r="D300" s="452"/>
      <c r="E300" s="451"/>
      <c r="F300" s="451"/>
      <c r="G300" s="450"/>
      <c r="H300" s="452"/>
      <c r="I300" s="451"/>
      <c r="J300" s="451"/>
      <c r="K300" s="450"/>
      <c r="L300" s="452"/>
      <c r="M300" s="451"/>
      <c r="N300" s="451"/>
      <c r="O300" s="450"/>
    </row>
    <row r="301" spans="1:15" ht="14.4" x14ac:dyDescent="0.3">
      <c r="A301" s="442"/>
      <c r="B301" s="584"/>
      <c r="C301" s="565" t="s">
        <v>24</v>
      </c>
      <c r="D301" s="578">
        <f t="shared" ref="D301:K301" si="37">SUM(D293:D300)</f>
        <v>689136</v>
      </c>
      <c r="E301" s="501">
        <f t="shared" si="37"/>
        <v>689136</v>
      </c>
      <c r="F301" s="501">
        <f t="shared" si="37"/>
        <v>0</v>
      </c>
      <c r="G301" s="579">
        <f t="shared" si="37"/>
        <v>0</v>
      </c>
      <c r="H301" s="578">
        <f t="shared" si="37"/>
        <v>-61899</v>
      </c>
      <c r="I301" s="501">
        <f t="shared" si="37"/>
        <v>-61899</v>
      </c>
      <c r="J301" s="501">
        <f t="shared" si="37"/>
        <v>0</v>
      </c>
      <c r="K301" s="579">
        <f t="shared" si="37"/>
        <v>0</v>
      </c>
      <c r="L301" s="578">
        <f t="shared" si="36"/>
        <v>627237</v>
      </c>
      <c r="M301" s="501">
        <f t="shared" si="36"/>
        <v>627237</v>
      </c>
      <c r="N301" s="501">
        <f t="shared" si="36"/>
        <v>0</v>
      </c>
      <c r="O301" s="579">
        <f t="shared" si="36"/>
        <v>0</v>
      </c>
    </row>
    <row r="302" spans="1:15" ht="13.8" x14ac:dyDescent="0.25">
      <c r="A302" s="442"/>
      <c r="B302" s="584"/>
      <c r="C302" s="565"/>
      <c r="D302" s="446"/>
      <c r="E302" s="445"/>
      <c r="F302" s="445"/>
      <c r="G302" s="444"/>
      <c r="H302" s="446"/>
      <c r="I302" s="445"/>
      <c r="J302" s="445"/>
      <c r="K302" s="444"/>
      <c r="L302" s="446"/>
      <c r="M302" s="445"/>
      <c r="N302" s="445"/>
      <c r="O302" s="444"/>
    </row>
    <row r="303" spans="1:15" ht="14.4" x14ac:dyDescent="0.3">
      <c r="A303" s="442"/>
      <c r="B303" s="584"/>
      <c r="C303" s="577" t="s">
        <v>40</v>
      </c>
      <c r="D303" s="578">
        <f t="shared" ref="D303:K303" si="38">D282+D290+D301</f>
        <v>715136</v>
      </c>
      <c r="E303" s="501">
        <f t="shared" si="38"/>
        <v>713136</v>
      </c>
      <c r="F303" s="501">
        <f t="shared" si="38"/>
        <v>2000</v>
      </c>
      <c r="G303" s="579">
        <f t="shared" si="38"/>
        <v>0</v>
      </c>
      <c r="H303" s="578">
        <f t="shared" si="38"/>
        <v>-69400</v>
      </c>
      <c r="I303" s="501">
        <f t="shared" si="38"/>
        <v>-70200</v>
      </c>
      <c r="J303" s="501">
        <f t="shared" si="38"/>
        <v>800</v>
      </c>
      <c r="K303" s="579">
        <f t="shared" si="38"/>
        <v>0</v>
      </c>
      <c r="L303" s="578">
        <f t="shared" si="36"/>
        <v>645736</v>
      </c>
      <c r="M303" s="501">
        <f t="shared" si="36"/>
        <v>642936</v>
      </c>
      <c r="N303" s="501">
        <f t="shared" si="36"/>
        <v>2800</v>
      </c>
      <c r="O303" s="579">
        <f t="shared" si="36"/>
        <v>0</v>
      </c>
    </row>
    <row r="304" spans="1:15" ht="14.4" x14ac:dyDescent="0.3">
      <c r="A304" s="442"/>
      <c r="B304" s="513"/>
      <c r="C304" s="577"/>
      <c r="D304" s="578"/>
      <c r="E304" s="501"/>
      <c r="F304" s="501"/>
      <c r="G304" s="579"/>
      <c r="H304" s="578"/>
      <c r="I304" s="501"/>
      <c r="J304" s="501"/>
      <c r="K304" s="579"/>
      <c r="L304" s="578"/>
      <c r="M304" s="501"/>
      <c r="N304" s="501"/>
      <c r="O304" s="579"/>
    </row>
    <row r="305" spans="1:15" ht="13.8" x14ac:dyDescent="0.25">
      <c r="A305" s="442"/>
      <c r="B305" s="513"/>
      <c r="C305" s="471" t="s">
        <v>488</v>
      </c>
      <c r="D305" s="458">
        <f t="shared" ref="D305:K305" si="39">D87+D97+D167+D181+D225+D253+D275+D303</f>
        <v>5047753</v>
      </c>
      <c r="E305" s="457">
        <f t="shared" si="39"/>
        <v>4694352</v>
      </c>
      <c r="F305" s="457">
        <f t="shared" si="39"/>
        <v>333401</v>
      </c>
      <c r="G305" s="456">
        <f t="shared" si="39"/>
        <v>20000</v>
      </c>
      <c r="H305" s="458">
        <f t="shared" si="39"/>
        <v>210797</v>
      </c>
      <c r="I305" s="457">
        <f t="shared" si="39"/>
        <v>192317</v>
      </c>
      <c r="J305" s="457">
        <f t="shared" si="39"/>
        <v>18480</v>
      </c>
      <c r="K305" s="456">
        <f t="shared" si="39"/>
        <v>0</v>
      </c>
      <c r="L305" s="458">
        <f t="shared" si="36"/>
        <v>5258550</v>
      </c>
      <c r="M305" s="457">
        <f t="shared" si="36"/>
        <v>4886669</v>
      </c>
      <c r="N305" s="457">
        <f t="shared" si="36"/>
        <v>351881</v>
      </c>
      <c r="O305" s="456">
        <f t="shared" si="36"/>
        <v>20000</v>
      </c>
    </row>
    <row r="306" spans="1:15" x14ac:dyDescent="0.3">
      <c r="A306" s="442"/>
      <c r="B306" s="585"/>
      <c r="C306" s="586"/>
      <c r="D306" s="484"/>
      <c r="E306" s="427"/>
      <c r="F306" s="427"/>
      <c r="G306" s="483"/>
      <c r="H306" s="484"/>
      <c r="I306" s="427"/>
      <c r="J306" s="427"/>
      <c r="K306" s="483"/>
      <c r="L306" s="484"/>
      <c r="M306" s="427"/>
      <c r="N306" s="427"/>
      <c r="O306" s="483"/>
    </row>
    <row r="307" spans="1:15" x14ac:dyDescent="0.3">
      <c r="A307" s="442"/>
      <c r="B307" s="513" t="s">
        <v>63</v>
      </c>
      <c r="C307" s="563" t="s">
        <v>81</v>
      </c>
      <c r="D307" s="484"/>
      <c r="E307" s="427"/>
      <c r="F307" s="427"/>
      <c r="G307" s="483"/>
      <c r="H307" s="484"/>
      <c r="I307" s="427"/>
      <c r="J307" s="427"/>
      <c r="K307" s="483"/>
      <c r="L307" s="484"/>
      <c r="M307" s="427"/>
      <c r="N307" s="427"/>
      <c r="O307" s="483"/>
    </row>
    <row r="308" spans="1:15" x14ac:dyDescent="0.3">
      <c r="A308" s="442"/>
      <c r="B308" s="582"/>
      <c r="C308" s="563" t="s">
        <v>82</v>
      </c>
      <c r="D308" s="484"/>
      <c r="E308" s="427"/>
      <c r="F308" s="427"/>
      <c r="G308" s="483"/>
      <c r="H308" s="484"/>
      <c r="I308" s="427"/>
      <c r="J308" s="427"/>
      <c r="K308" s="483"/>
      <c r="L308" s="484"/>
      <c r="M308" s="427"/>
      <c r="N308" s="427"/>
      <c r="O308" s="483"/>
    </row>
    <row r="309" spans="1:15" ht="13.8" x14ac:dyDescent="0.25">
      <c r="A309" s="442"/>
      <c r="B309" s="513"/>
      <c r="C309" s="440" t="s">
        <v>78</v>
      </c>
      <c r="D309" s="439"/>
      <c r="E309" s="438"/>
      <c r="F309" s="438"/>
      <c r="G309" s="437"/>
      <c r="H309" s="439"/>
      <c r="I309" s="438"/>
      <c r="J309" s="438"/>
      <c r="K309" s="437"/>
      <c r="L309" s="439">
        <f t="shared" si="36"/>
        <v>0</v>
      </c>
      <c r="M309" s="438">
        <f t="shared" si="36"/>
        <v>0</v>
      </c>
      <c r="N309" s="438">
        <f t="shared" si="36"/>
        <v>0</v>
      </c>
      <c r="O309" s="437">
        <f t="shared" si="36"/>
        <v>0</v>
      </c>
    </row>
    <row r="310" spans="1:15" ht="13.8" x14ac:dyDescent="0.25">
      <c r="A310" s="442"/>
      <c r="B310" s="513"/>
      <c r="C310" s="440" t="s">
        <v>79</v>
      </c>
      <c r="D310" s="439">
        <v>26389</v>
      </c>
      <c r="E310" s="438">
        <v>26389</v>
      </c>
      <c r="F310" s="438"/>
      <c r="G310" s="437"/>
      <c r="H310" s="439"/>
      <c r="I310" s="438"/>
      <c r="J310" s="438"/>
      <c r="K310" s="437"/>
      <c r="L310" s="439">
        <f t="shared" si="36"/>
        <v>26389</v>
      </c>
      <c r="M310" s="438">
        <f t="shared" si="36"/>
        <v>26389</v>
      </c>
      <c r="N310" s="438">
        <f t="shared" si="36"/>
        <v>0</v>
      </c>
      <c r="O310" s="437">
        <f t="shared" si="36"/>
        <v>0</v>
      </c>
    </row>
    <row r="311" spans="1:15" ht="13.8" x14ac:dyDescent="0.25">
      <c r="A311" s="442"/>
      <c r="B311" s="576"/>
      <c r="C311" s="563" t="s">
        <v>80</v>
      </c>
      <c r="D311" s="439">
        <v>0</v>
      </c>
      <c r="E311" s="438">
        <v>0</v>
      </c>
      <c r="F311" s="438"/>
      <c r="G311" s="437"/>
      <c r="H311" s="439">
        <v>8302</v>
      </c>
      <c r="I311" s="438">
        <v>8302</v>
      </c>
      <c r="J311" s="438">
        <v>0</v>
      </c>
      <c r="K311" s="437">
        <v>0</v>
      </c>
      <c r="L311" s="439">
        <f t="shared" si="36"/>
        <v>8302</v>
      </c>
      <c r="M311" s="438">
        <f t="shared" si="36"/>
        <v>8302</v>
      </c>
      <c r="N311" s="438">
        <f t="shared" si="36"/>
        <v>0</v>
      </c>
      <c r="O311" s="437">
        <f t="shared" si="36"/>
        <v>0</v>
      </c>
    </row>
    <row r="312" spans="1:15" ht="14.4" x14ac:dyDescent="0.3">
      <c r="A312" s="442"/>
      <c r="B312" s="513"/>
      <c r="C312" s="577" t="s">
        <v>24</v>
      </c>
      <c r="D312" s="572">
        <f t="shared" ref="D312:G312" si="40">SUM(D309:D311)</f>
        <v>26389</v>
      </c>
      <c r="E312" s="573">
        <f t="shared" si="40"/>
        <v>26389</v>
      </c>
      <c r="F312" s="573">
        <f t="shared" si="40"/>
        <v>0</v>
      </c>
      <c r="G312" s="574">
        <f t="shared" si="40"/>
        <v>0</v>
      </c>
      <c r="H312" s="572">
        <f t="shared" ref="H312:K312" si="41">SUM(H309:H311)</f>
        <v>8302</v>
      </c>
      <c r="I312" s="573">
        <f t="shared" si="41"/>
        <v>8302</v>
      </c>
      <c r="J312" s="573">
        <f t="shared" si="41"/>
        <v>0</v>
      </c>
      <c r="K312" s="574">
        <f t="shared" si="41"/>
        <v>0</v>
      </c>
      <c r="L312" s="572">
        <f t="shared" si="36"/>
        <v>34691</v>
      </c>
      <c r="M312" s="573">
        <f t="shared" si="36"/>
        <v>34691</v>
      </c>
      <c r="N312" s="573">
        <f t="shared" si="36"/>
        <v>0</v>
      </c>
      <c r="O312" s="574">
        <f t="shared" si="36"/>
        <v>0</v>
      </c>
    </row>
    <row r="313" spans="1:15" ht="14.4" x14ac:dyDescent="0.3">
      <c r="A313" s="442"/>
      <c r="B313" s="513"/>
      <c r="C313" s="577"/>
      <c r="D313" s="572"/>
      <c r="E313" s="573"/>
      <c r="F313" s="573"/>
      <c r="G313" s="574"/>
      <c r="H313" s="572"/>
      <c r="I313" s="573"/>
      <c r="J313" s="573"/>
      <c r="K313" s="574"/>
      <c r="L313" s="572"/>
      <c r="M313" s="573"/>
      <c r="N313" s="573"/>
      <c r="O313" s="574"/>
    </row>
    <row r="314" spans="1:15" ht="13.8" x14ac:dyDescent="0.25">
      <c r="A314" s="442"/>
      <c r="B314" s="513"/>
      <c r="C314" s="440" t="s">
        <v>83</v>
      </c>
      <c r="D314" s="439">
        <v>55442</v>
      </c>
      <c r="E314" s="438">
        <v>55442</v>
      </c>
      <c r="F314" s="438"/>
      <c r="G314" s="437"/>
      <c r="H314" s="439">
        <v>1873</v>
      </c>
      <c r="I314" s="438">
        <v>1873</v>
      </c>
      <c r="J314" s="438">
        <v>0</v>
      </c>
      <c r="K314" s="437">
        <v>0</v>
      </c>
      <c r="L314" s="439">
        <f t="shared" si="36"/>
        <v>57315</v>
      </c>
      <c r="M314" s="438">
        <f t="shared" si="36"/>
        <v>57315</v>
      </c>
      <c r="N314" s="438">
        <f t="shared" si="36"/>
        <v>0</v>
      </c>
      <c r="O314" s="437">
        <f t="shared" si="36"/>
        <v>0</v>
      </c>
    </row>
    <row r="315" spans="1:15" ht="13.8" x14ac:dyDescent="0.25">
      <c r="A315" s="442"/>
      <c r="B315" s="587"/>
      <c r="C315" s="563"/>
      <c r="D315" s="439"/>
      <c r="E315" s="438"/>
      <c r="F315" s="438"/>
      <c r="G315" s="437"/>
      <c r="H315" s="439"/>
      <c r="I315" s="438"/>
      <c r="J315" s="438"/>
      <c r="K315" s="437"/>
      <c r="L315" s="439"/>
      <c r="M315" s="438"/>
      <c r="N315" s="438"/>
      <c r="O315" s="437"/>
    </row>
    <row r="316" spans="1:15" ht="14.4" thickBot="1" x14ac:dyDescent="0.3">
      <c r="A316" s="436"/>
      <c r="B316" s="588"/>
      <c r="C316" s="589" t="s">
        <v>17</v>
      </c>
      <c r="D316" s="433">
        <f t="shared" ref="D316:K316" si="42">SUM(D63,D76,D312,D305)+D314</f>
        <v>6738112</v>
      </c>
      <c r="E316" s="432">
        <f t="shared" si="42"/>
        <v>6384711</v>
      </c>
      <c r="F316" s="432">
        <f t="shared" si="42"/>
        <v>333401</v>
      </c>
      <c r="G316" s="590">
        <f t="shared" si="42"/>
        <v>20000</v>
      </c>
      <c r="H316" s="433">
        <f t="shared" si="42"/>
        <v>22833</v>
      </c>
      <c r="I316" s="432">
        <f t="shared" si="42"/>
        <v>4353</v>
      </c>
      <c r="J316" s="432">
        <f t="shared" si="42"/>
        <v>18480</v>
      </c>
      <c r="K316" s="590">
        <f t="shared" si="42"/>
        <v>0</v>
      </c>
      <c r="L316" s="433">
        <f t="shared" si="36"/>
        <v>6760945</v>
      </c>
      <c r="M316" s="432">
        <f t="shared" si="36"/>
        <v>6389064</v>
      </c>
      <c r="N316" s="432">
        <f t="shared" si="36"/>
        <v>351881</v>
      </c>
      <c r="O316" s="590">
        <f t="shared" si="36"/>
        <v>20000</v>
      </c>
    </row>
    <row r="317" spans="1:15" x14ac:dyDescent="0.3">
      <c r="A317" s="591"/>
      <c r="B317" s="428"/>
      <c r="D317" s="100"/>
      <c r="E317" s="100"/>
      <c r="F317" s="100"/>
      <c r="G317" s="100"/>
      <c r="H317" s="100"/>
      <c r="I317" s="100"/>
      <c r="J317" s="100"/>
      <c r="K317" s="100"/>
      <c r="L317" s="100"/>
      <c r="M317" s="100"/>
      <c r="N317" s="100"/>
      <c r="O317" s="100"/>
    </row>
    <row r="318" spans="1:15" x14ac:dyDescent="0.3">
      <c r="C318" s="438"/>
      <c r="D318" s="427"/>
      <c r="F318" s="427"/>
      <c r="H318" s="427"/>
      <c r="J318" s="427"/>
      <c r="L318" s="427"/>
      <c r="N318" s="427"/>
    </row>
    <row r="319" spans="1:15" x14ac:dyDescent="0.3">
      <c r="D319" s="427"/>
      <c r="H319" s="427"/>
      <c r="L319" s="427"/>
    </row>
    <row r="323" spans="1:3" x14ac:dyDescent="0.3">
      <c r="A323" s="5"/>
      <c r="B323" s="5"/>
      <c r="C323" s="5"/>
    </row>
    <row r="324" spans="1:3" x14ac:dyDescent="0.3">
      <c r="A324" s="5"/>
      <c r="B324" s="5"/>
      <c r="C324" s="5"/>
    </row>
    <row r="325" spans="1:3" x14ac:dyDescent="0.3">
      <c r="A325" s="5"/>
      <c r="B325" s="5"/>
      <c r="C325" s="5"/>
    </row>
    <row r="326" spans="1:3" x14ac:dyDescent="0.3">
      <c r="A326" s="5"/>
      <c r="B326" s="5"/>
      <c r="C326" s="5"/>
    </row>
    <row r="327" spans="1:3" x14ac:dyDescent="0.3">
      <c r="A327" s="5"/>
      <c r="B327" s="5"/>
      <c r="C327" s="5"/>
    </row>
    <row r="328" spans="1:3" x14ac:dyDescent="0.3">
      <c r="A328" s="5"/>
      <c r="B328" s="5"/>
      <c r="C328" s="5"/>
    </row>
    <row r="329" spans="1:3" x14ac:dyDescent="0.3">
      <c r="A329" s="5"/>
      <c r="B329" s="5"/>
      <c r="C329" s="5"/>
    </row>
    <row r="330" spans="1:3" x14ac:dyDescent="0.3">
      <c r="A330" s="5"/>
      <c r="B330" s="5"/>
      <c r="C330" s="5"/>
    </row>
    <row r="331" spans="1:3" x14ac:dyDescent="0.3">
      <c r="A331" s="5"/>
      <c r="B331" s="5"/>
      <c r="C331" s="5"/>
    </row>
    <row r="332" spans="1:3" x14ac:dyDescent="0.3">
      <c r="A332" s="5"/>
      <c r="B332" s="5"/>
      <c r="C332" s="5"/>
    </row>
    <row r="333" spans="1:3" x14ac:dyDescent="0.3">
      <c r="A333" s="5"/>
      <c r="B333" s="5"/>
      <c r="C333" s="5"/>
    </row>
    <row r="334" spans="1:3" x14ac:dyDescent="0.3">
      <c r="A334" s="5"/>
      <c r="B334" s="5"/>
      <c r="C334" s="5"/>
    </row>
    <row r="335" spans="1:3" x14ac:dyDescent="0.3">
      <c r="A335" s="5"/>
      <c r="B335" s="5"/>
      <c r="C335" s="5"/>
    </row>
    <row r="336" spans="1:3" x14ac:dyDescent="0.3">
      <c r="A336" s="5"/>
      <c r="B336" s="5"/>
      <c r="C336" s="5"/>
    </row>
    <row r="337" spans="1:3" x14ac:dyDescent="0.3">
      <c r="A337" s="5"/>
      <c r="B337" s="5"/>
      <c r="C337" s="5"/>
    </row>
    <row r="338" spans="1:3" x14ac:dyDescent="0.3">
      <c r="A338" s="5"/>
      <c r="B338" s="5"/>
      <c r="C338" s="5"/>
    </row>
    <row r="339" spans="1:3" x14ac:dyDescent="0.3">
      <c r="A339" s="5"/>
      <c r="B339" s="5"/>
      <c r="C339" s="5"/>
    </row>
    <row r="340" spans="1:3" x14ac:dyDescent="0.3">
      <c r="A340" s="5"/>
      <c r="B340" s="5"/>
      <c r="C340" s="5"/>
    </row>
    <row r="341" spans="1:3" x14ac:dyDescent="0.3">
      <c r="A341" s="5"/>
      <c r="B341" s="5"/>
      <c r="C341" s="5"/>
    </row>
    <row r="342" spans="1:3" x14ac:dyDescent="0.3">
      <c r="A342" s="5"/>
      <c r="B342" s="5"/>
      <c r="C342" s="5"/>
    </row>
    <row r="343" spans="1:3" x14ac:dyDescent="0.3">
      <c r="A343" s="5"/>
      <c r="B343" s="5"/>
      <c r="C343" s="5"/>
    </row>
    <row r="344" spans="1:3" x14ac:dyDescent="0.3">
      <c r="A344" s="5"/>
      <c r="B344" s="5"/>
      <c r="C344" s="5"/>
    </row>
    <row r="345" spans="1:3" x14ac:dyDescent="0.3">
      <c r="A345" s="5"/>
      <c r="B345" s="5"/>
      <c r="C345" s="5"/>
    </row>
    <row r="346" spans="1:3" x14ac:dyDescent="0.3">
      <c r="A346" s="5"/>
      <c r="B346" s="5"/>
      <c r="C346" s="5"/>
    </row>
    <row r="347" spans="1:3" x14ac:dyDescent="0.3">
      <c r="A347" s="5"/>
      <c r="B347" s="5"/>
      <c r="C347" s="5"/>
    </row>
    <row r="348" spans="1:3" x14ac:dyDescent="0.3">
      <c r="A348" s="5"/>
      <c r="B348" s="5"/>
      <c r="C348" s="5"/>
    </row>
    <row r="349" spans="1:3" x14ac:dyDescent="0.3">
      <c r="A349" s="5"/>
      <c r="B349" s="5"/>
      <c r="C349" s="5"/>
    </row>
    <row r="350" spans="1:3" x14ac:dyDescent="0.3">
      <c r="A350" s="5"/>
      <c r="B350" s="5"/>
      <c r="C350" s="5"/>
    </row>
    <row r="351" spans="1:3" x14ac:dyDescent="0.3">
      <c r="A351" s="5"/>
      <c r="B351" s="5"/>
      <c r="C351" s="5"/>
    </row>
    <row r="352" spans="1:3" x14ac:dyDescent="0.3">
      <c r="A352" s="5"/>
      <c r="B352" s="5"/>
      <c r="C352" s="5"/>
    </row>
    <row r="353" spans="1:3" x14ac:dyDescent="0.3">
      <c r="A353" s="5"/>
      <c r="B353" s="5"/>
      <c r="C353" s="5"/>
    </row>
    <row r="354" spans="1:3" x14ac:dyDescent="0.3">
      <c r="A354" s="5"/>
      <c r="B354" s="5"/>
      <c r="C354" s="5"/>
    </row>
    <row r="355" spans="1:3" x14ac:dyDescent="0.3">
      <c r="A355" s="5"/>
      <c r="B355" s="5"/>
      <c r="C355" s="5"/>
    </row>
    <row r="356" spans="1:3" x14ac:dyDescent="0.3">
      <c r="A356" s="5"/>
      <c r="B356" s="5"/>
      <c r="C356" s="5"/>
    </row>
    <row r="357" spans="1:3" x14ac:dyDescent="0.3">
      <c r="A357" s="5"/>
      <c r="B357" s="5"/>
      <c r="C357" s="5"/>
    </row>
  </sheetData>
  <mergeCells count="3">
    <mergeCell ref="D5:G5"/>
    <mergeCell ref="H5:K5"/>
    <mergeCell ref="L5:O5"/>
  </mergeCells>
  <pageMargins left="0.7" right="0.7" top="0.75" bottom="0.75" header="0.3" footer="0.3"/>
  <pageSetup paperSize="9" scale="4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8DEAF-BDFF-443A-9EA1-8C931C2222A8}">
  <sheetPr>
    <pageSetUpPr fitToPage="1"/>
  </sheetPr>
  <dimension ref="A1:S14"/>
  <sheetViews>
    <sheetView view="pageBreakPreview" zoomScaleNormal="100" zoomScaleSheetLayoutView="100" workbookViewId="0">
      <selection activeCell="S3" sqref="S3"/>
    </sheetView>
  </sheetViews>
  <sheetFormatPr defaultColWidth="9.109375" defaultRowHeight="16.8" x14ac:dyDescent="0.3"/>
  <cols>
    <col min="1" max="1" width="16.5546875" style="103" customWidth="1"/>
    <col min="2" max="2" width="8.33203125" style="1" bestFit="1" customWidth="1"/>
    <col min="3" max="3" width="8.33203125" style="1" customWidth="1"/>
    <col min="4" max="4" width="8.33203125" style="1" bestFit="1" customWidth="1"/>
    <col min="5" max="5" width="7" style="1" bestFit="1" customWidth="1"/>
    <col min="6" max="6" width="8.33203125" style="1" bestFit="1" customWidth="1"/>
    <col min="7" max="7" width="8.33203125" style="1" customWidth="1"/>
    <col min="8" max="8" width="8.33203125" style="1" bestFit="1" customWidth="1"/>
    <col min="9" max="9" width="8.33203125" style="1" customWidth="1"/>
    <col min="10" max="10" width="8.33203125" style="1" bestFit="1" customWidth="1"/>
    <col min="11" max="11" width="6.88671875" style="1" bestFit="1" customWidth="1"/>
    <col min="12" max="12" width="8.33203125" style="1" bestFit="1" customWidth="1"/>
    <col min="13" max="13" width="6.88671875" style="1" bestFit="1" customWidth="1"/>
    <col min="14" max="14" width="8.33203125" style="7" bestFit="1" customWidth="1"/>
    <col min="15" max="15" width="6.88671875" style="7" bestFit="1" customWidth="1"/>
    <col min="16" max="16" width="8.33203125" style="7" bestFit="1" customWidth="1"/>
    <col min="17" max="17" width="6.88671875" style="7" bestFit="1" customWidth="1"/>
    <col min="18" max="18" width="8.33203125" style="1" bestFit="1" customWidth="1"/>
    <col min="19" max="16384" width="9.109375" style="1"/>
  </cols>
  <sheetData>
    <row r="1" spans="1:19" x14ac:dyDescent="0.3">
      <c r="R1" s="105"/>
      <c r="S1" s="105" t="s">
        <v>1077</v>
      </c>
    </row>
    <row r="2" spans="1:19" x14ac:dyDescent="0.3">
      <c r="A2" s="121"/>
      <c r="B2" s="117"/>
      <c r="C2" s="117"/>
      <c r="D2" s="117"/>
      <c r="E2" s="117"/>
      <c r="F2" s="117"/>
      <c r="G2" s="117"/>
      <c r="H2" s="117"/>
      <c r="I2" s="117"/>
      <c r="J2" s="117"/>
      <c r="K2" s="117"/>
      <c r="L2" s="117"/>
      <c r="M2" s="117"/>
      <c r="N2" s="358"/>
      <c r="O2" s="358"/>
      <c r="P2" s="358"/>
      <c r="Q2" s="358"/>
      <c r="S2" s="597" t="s">
        <v>1053</v>
      </c>
    </row>
    <row r="3" spans="1:19" x14ac:dyDescent="0.3">
      <c r="A3" s="372" t="s">
        <v>46</v>
      </c>
      <c r="B3" s="372"/>
      <c r="C3" s="372"/>
      <c r="D3" s="372"/>
      <c r="E3" s="372"/>
      <c r="F3" s="372"/>
      <c r="G3" s="372"/>
      <c r="H3" s="372"/>
      <c r="I3" s="372"/>
      <c r="J3" s="372"/>
      <c r="K3" s="372"/>
      <c r="L3" s="372"/>
      <c r="M3" s="372"/>
      <c r="N3" s="373"/>
      <c r="O3" s="358"/>
      <c r="P3" s="358"/>
      <c r="Q3" s="358"/>
    </row>
    <row r="4" spans="1:19" s="2" customFormat="1" ht="18.600000000000001" x14ac:dyDescent="0.3">
      <c r="A4" s="372" t="s">
        <v>730</v>
      </c>
      <c r="B4" s="372"/>
      <c r="C4" s="372"/>
      <c r="D4" s="372"/>
      <c r="E4" s="372"/>
      <c r="F4" s="372"/>
      <c r="G4" s="372"/>
      <c r="H4" s="372"/>
      <c r="I4" s="372"/>
      <c r="J4" s="372"/>
      <c r="K4" s="372"/>
      <c r="L4" s="372"/>
      <c r="M4" s="372"/>
      <c r="N4" s="373"/>
      <c r="O4" s="358"/>
      <c r="P4" s="358"/>
      <c r="Q4" s="358"/>
    </row>
    <row r="5" spans="1:19" s="2" customFormat="1" ht="18.600000000000001" x14ac:dyDescent="0.3">
      <c r="B5" s="3"/>
      <c r="C5" s="3"/>
      <c r="D5" s="3"/>
      <c r="E5" s="3"/>
      <c r="F5" s="3"/>
      <c r="G5" s="3"/>
      <c r="H5" s="3"/>
      <c r="I5" s="3"/>
      <c r="J5" s="3"/>
      <c r="K5" s="3"/>
      <c r="L5" s="3"/>
      <c r="M5" s="3"/>
      <c r="N5" s="4"/>
      <c r="O5" s="4"/>
      <c r="P5" s="4"/>
      <c r="Q5" s="8"/>
      <c r="R5" s="8"/>
    </row>
    <row r="6" spans="1:19" s="6" customFormat="1" ht="38.25" customHeight="1" x14ac:dyDescent="0.25">
      <c r="A6" s="128"/>
      <c r="B6" s="592" t="s">
        <v>22</v>
      </c>
      <c r="C6" s="593"/>
      <c r="D6" s="592" t="s">
        <v>77</v>
      </c>
      <c r="E6" s="593"/>
      <c r="F6" s="592" t="s">
        <v>27</v>
      </c>
      <c r="G6" s="593"/>
      <c r="H6" s="592" t="s">
        <v>48</v>
      </c>
      <c r="I6" s="593"/>
      <c r="J6" s="592" t="s">
        <v>49</v>
      </c>
      <c r="K6" s="593"/>
      <c r="L6" s="592" t="s">
        <v>50</v>
      </c>
      <c r="M6" s="593"/>
      <c r="N6" s="592" t="s">
        <v>20</v>
      </c>
      <c r="O6" s="593"/>
      <c r="P6" s="592" t="s">
        <v>51</v>
      </c>
      <c r="Q6" s="593"/>
      <c r="R6" s="594" t="s">
        <v>23</v>
      </c>
      <c r="S6" s="594"/>
    </row>
    <row r="7" spans="1:19" s="6" customFormat="1" ht="42.75" customHeight="1" x14ac:dyDescent="0.25">
      <c r="A7" s="128"/>
      <c r="B7" s="595" t="s">
        <v>44</v>
      </c>
      <c r="C7" s="595" t="s">
        <v>1076</v>
      </c>
      <c r="D7" s="595" t="s">
        <v>44</v>
      </c>
      <c r="E7" s="595" t="s">
        <v>1076</v>
      </c>
      <c r="F7" s="595" t="s">
        <v>44</v>
      </c>
      <c r="G7" s="595" t="s">
        <v>1076</v>
      </c>
      <c r="H7" s="595" t="s">
        <v>44</v>
      </c>
      <c r="I7" s="595" t="s">
        <v>1076</v>
      </c>
      <c r="J7" s="595" t="s">
        <v>44</v>
      </c>
      <c r="K7" s="595" t="s">
        <v>1076</v>
      </c>
      <c r="L7" s="595" t="s">
        <v>44</v>
      </c>
      <c r="M7" s="595" t="s">
        <v>1076</v>
      </c>
      <c r="N7" s="595" t="s">
        <v>44</v>
      </c>
      <c r="O7" s="595" t="s">
        <v>1076</v>
      </c>
      <c r="P7" s="595" t="s">
        <v>44</v>
      </c>
      <c r="Q7" s="595" t="s">
        <v>1076</v>
      </c>
      <c r="R7" s="595" t="s">
        <v>44</v>
      </c>
      <c r="S7" s="595" t="s">
        <v>1076</v>
      </c>
    </row>
    <row r="8" spans="1:19" ht="23.25" customHeight="1" x14ac:dyDescent="0.3">
      <c r="A8" s="129" t="s">
        <v>41</v>
      </c>
      <c r="B8" s="120">
        <v>311726</v>
      </c>
      <c r="C8" s="120">
        <v>335880</v>
      </c>
      <c r="D8" s="120">
        <v>43503</v>
      </c>
      <c r="E8" s="120">
        <v>46712</v>
      </c>
      <c r="F8" s="120">
        <v>60200</v>
      </c>
      <c r="G8" s="120">
        <v>64471</v>
      </c>
      <c r="H8" s="120">
        <v>0</v>
      </c>
      <c r="I8" s="120">
        <v>0</v>
      </c>
      <c r="J8" s="120">
        <v>0</v>
      </c>
      <c r="K8" s="120">
        <v>0</v>
      </c>
      <c r="L8" s="120">
        <v>6000</v>
      </c>
      <c r="M8" s="120">
        <v>8747</v>
      </c>
      <c r="N8" s="120">
        <v>0</v>
      </c>
      <c r="O8" s="120">
        <v>0</v>
      </c>
      <c r="P8" s="120">
        <v>0</v>
      </c>
      <c r="Q8" s="120">
        <v>0</v>
      </c>
      <c r="R8" s="120">
        <f t="shared" ref="R8:S11" si="0">B8+D8+F8+H8+J8+L8+N8+P8</f>
        <v>421429</v>
      </c>
      <c r="S8" s="120">
        <f t="shared" si="0"/>
        <v>455810</v>
      </c>
    </row>
    <row r="9" spans="1:19" ht="27" x14ac:dyDescent="0.3">
      <c r="A9" s="129" t="s">
        <v>76</v>
      </c>
      <c r="B9" s="120">
        <v>30500</v>
      </c>
      <c r="C9" s="120">
        <v>31526</v>
      </c>
      <c r="D9" s="120">
        <v>4250</v>
      </c>
      <c r="E9" s="120">
        <v>4405</v>
      </c>
      <c r="F9" s="120">
        <v>3050</v>
      </c>
      <c r="G9" s="120">
        <v>3264</v>
      </c>
      <c r="H9" s="120">
        <v>0</v>
      </c>
      <c r="I9" s="120">
        <v>0</v>
      </c>
      <c r="J9" s="120">
        <v>0</v>
      </c>
      <c r="K9" s="120">
        <v>0</v>
      </c>
      <c r="L9" s="120">
        <v>200</v>
      </c>
      <c r="M9" s="120">
        <v>200</v>
      </c>
      <c r="N9" s="120">
        <v>0</v>
      </c>
      <c r="O9" s="120">
        <v>0</v>
      </c>
      <c r="P9" s="120">
        <v>0</v>
      </c>
      <c r="Q9" s="120">
        <v>0</v>
      </c>
      <c r="R9" s="120">
        <f t="shared" si="0"/>
        <v>38000</v>
      </c>
      <c r="S9" s="120">
        <f t="shared" si="0"/>
        <v>39395</v>
      </c>
    </row>
    <row r="10" spans="1:19" ht="27" x14ac:dyDescent="0.3">
      <c r="A10" s="129" t="s">
        <v>524</v>
      </c>
      <c r="B10" s="120">
        <v>9749</v>
      </c>
      <c r="C10" s="120">
        <v>10075</v>
      </c>
      <c r="D10" s="120">
        <v>1306</v>
      </c>
      <c r="E10" s="120">
        <v>1352</v>
      </c>
      <c r="F10" s="120">
        <v>240</v>
      </c>
      <c r="G10" s="120">
        <v>305</v>
      </c>
      <c r="H10" s="120">
        <v>0</v>
      </c>
      <c r="I10" s="120">
        <v>0</v>
      </c>
      <c r="J10" s="120">
        <v>0</v>
      </c>
      <c r="K10" s="120">
        <v>0</v>
      </c>
      <c r="L10" s="120">
        <v>0</v>
      </c>
      <c r="M10" s="120">
        <v>0</v>
      </c>
      <c r="N10" s="120">
        <v>0</v>
      </c>
      <c r="O10" s="120">
        <v>0</v>
      </c>
      <c r="P10" s="120">
        <v>0</v>
      </c>
      <c r="Q10" s="120">
        <v>0</v>
      </c>
      <c r="R10" s="120">
        <f t="shared" si="0"/>
        <v>11295</v>
      </c>
      <c r="S10" s="120">
        <f t="shared" si="0"/>
        <v>11732</v>
      </c>
    </row>
    <row r="11" spans="1:19" ht="27" x14ac:dyDescent="0.3">
      <c r="A11" s="129" t="s">
        <v>525</v>
      </c>
      <c r="B11" s="120">
        <v>8542</v>
      </c>
      <c r="C11" s="120">
        <v>8868</v>
      </c>
      <c r="D11" s="120">
        <v>1199</v>
      </c>
      <c r="E11" s="120">
        <v>1245</v>
      </c>
      <c r="F11" s="120">
        <v>32</v>
      </c>
      <c r="G11" s="120">
        <v>183</v>
      </c>
      <c r="H11" s="120">
        <v>0</v>
      </c>
      <c r="I11" s="120">
        <v>0</v>
      </c>
      <c r="J11" s="120">
        <v>0</v>
      </c>
      <c r="K11" s="120">
        <v>0</v>
      </c>
      <c r="L11" s="120">
        <v>0</v>
      </c>
      <c r="M11" s="120">
        <v>0</v>
      </c>
      <c r="N11" s="120">
        <v>0</v>
      </c>
      <c r="O11" s="120">
        <v>0</v>
      </c>
      <c r="P11" s="120">
        <v>0</v>
      </c>
      <c r="Q11" s="120">
        <v>0</v>
      </c>
      <c r="R11" s="120">
        <f t="shared" si="0"/>
        <v>9773</v>
      </c>
      <c r="S11" s="120">
        <f t="shared" si="0"/>
        <v>10296</v>
      </c>
    </row>
    <row r="12" spans="1:19" s="104" customFormat="1" ht="24.75" customHeight="1" x14ac:dyDescent="0.3">
      <c r="A12" s="130" t="s">
        <v>24</v>
      </c>
      <c r="B12" s="119">
        <f t="shared" ref="B12:S12" si="1">SUM(B8:B11)</f>
        <v>360517</v>
      </c>
      <c r="C12" s="119">
        <f t="shared" si="1"/>
        <v>386349</v>
      </c>
      <c r="D12" s="119">
        <f t="shared" si="1"/>
        <v>50258</v>
      </c>
      <c r="E12" s="119">
        <f t="shared" si="1"/>
        <v>53714</v>
      </c>
      <c r="F12" s="119">
        <f t="shared" si="1"/>
        <v>63522</v>
      </c>
      <c r="G12" s="119">
        <f t="shared" si="1"/>
        <v>68223</v>
      </c>
      <c r="H12" s="119">
        <f t="shared" si="1"/>
        <v>0</v>
      </c>
      <c r="I12" s="119">
        <f t="shared" si="1"/>
        <v>0</v>
      </c>
      <c r="J12" s="119">
        <f t="shared" si="1"/>
        <v>0</v>
      </c>
      <c r="K12" s="119">
        <f t="shared" si="1"/>
        <v>0</v>
      </c>
      <c r="L12" s="119">
        <f t="shared" si="1"/>
        <v>6200</v>
      </c>
      <c r="M12" s="119">
        <f t="shared" si="1"/>
        <v>8947</v>
      </c>
      <c r="N12" s="119">
        <f t="shared" si="1"/>
        <v>0</v>
      </c>
      <c r="O12" s="119">
        <f t="shared" si="1"/>
        <v>0</v>
      </c>
      <c r="P12" s="119">
        <f t="shared" si="1"/>
        <v>0</v>
      </c>
      <c r="Q12" s="119">
        <f t="shared" si="1"/>
        <v>0</v>
      </c>
      <c r="R12" s="119">
        <f t="shared" si="1"/>
        <v>480497</v>
      </c>
      <c r="S12" s="119">
        <f t="shared" si="1"/>
        <v>517233</v>
      </c>
    </row>
    <row r="14" spans="1:19" x14ac:dyDescent="0.3">
      <c r="C14" s="596"/>
      <c r="E14" s="596"/>
      <c r="G14" s="596"/>
      <c r="M14" s="596"/>
      <c r="S14" s="596"/>
    </row>
  </sheetData>
  <mergeCells count="11">
    <mergeCell ref="P6:Q6"/>
    <mergeCell ref="R6:S6"/>
    <mergeCell ref="A3:N3"/>
    <mergeCell ref="A4:N4"/>
    <mergeCell ref="B6:C6"/>
    <mergeCell ref="D6:E6"/>
    <mergeCell ref="F6:G6"/>
    <mergeCell ref="H6:I6"/>
    <mergeCell ref="J6:K6"/>
    <mergeCell ref="L6:M6"/>
    <mergeCell ref="N6:O6"/>
  </mergeCells>
  <printOptions horizontalCentered="1"/>
  <pageMargins left="0.19685039370078741" right="0.19685039370078741" top="0.39370078740157483" bottom="0.39370078740157483" header="0.51181102362204722" footer="0.51181102362204722"/>
  <pageSetup paperSize="9" scale="91"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3"/>
  <sheetViews>
    <sheetView workbookViewId="0">
      <selection activeCell="F1" sqref="F1"/>
    </sheetView>
  </sheetViews>
  <sheetFormatPr defaultRowHeight="13.2" x14ac:dyDescent="0.25"/>
  <cols>
    <col min="1" max="1" width="68.5546875" style="9" bestFit="1" customWidth="1"/>
    <col min="2" max="2" width="11.88671875" style="9" customWidth="1"/>
    <col min="3" max="3" width="12.33203125" style="9" customWidth="1"/>
    <col min="4" max="4" width="10.88671875" style="9" bestFit="1" customWidth="1"/>
    <col min="5" max="5" width="18.33203125" style="9" bestFit="1" customWidth="1"/>
    <col min="6" max="6" width="13.33203125" style="9" customWidth="1"/>
    <col min="7" max="256" width="9.109375" style="10"/>
    <col min="257" max="257" width="64.33203125" style="10" bestFit="1" customWidth="1"/>
    <col min="258" max="258" width="11.88671875" style="10" customWidth="1"/>
    <col min="259" max="259" width="12.33203125" style="10" customWidth="1"/>
    <col min="260" max="260" width="10.88671875" style="10" bestFit="1" customWidth="1"/>
    <col min="261" max="261" width="18.33203125" style="10" bestFit="1" customWidth="1"/>
    <col min="262" max="262" width="13.33203125" style="10" customWidth="1"/>
    <col min="263" max="512" width="9.109375" style="10"/>
    <col min="513" max="513" width="64.33203125" style="10" bestFit="1" customWidth="1"/>
    <col min="514" max="514" width="11.88671875" style="10" customWidth="1"/>
    <col min="515" max="515" width="12.33203125" style="10" customWidth="1"/>
    <col min="516" max="516" width="10.88671875" style="10" bestFit="1" customWidth="1"/>
    <col min="517" max="517" width="18.33203125" style="10" bestFit="1" customWidth="1"/>
    <col min="518" max="518" width="13.33203125" style="10" customWidth="1"/>
    <col min="519" max="768" width="9.109375" style="10"/>
    <col min="769" max="769" width="64.33203125" style="10" bestFit="1" customWidth="1"/>
    <col min="770" max="770" width="11.88671875" style="10" customWidth="1"/>
    <col min="771" max="771" width="12.33203125" style="10" customWidth="1"/>
    <col min="772" max="772" width="10.88671875" style="10" bestFit="1" customWidth="1"/>
    <col min="773" max="773" width="18.33203125" style="10" bestFit="1" customWidth="1"/>
    <col min="774" max="774" width="13.33203125" style="10" customWidth="1"/>
    <col min="775" max="1024" width="9.109375" style="10"/>
    <col min="1025" max="1025" width="64.33203125" style="10" bestFit="1" customWidth="1"/>
    <col min="1026" max="1026" width="11.88671875" style="10" customWidth="1"/>
    <col min="1027" max="1027" width="12.33203125" style="10" customWidth="1"/>
    <col min="1028" max="1028" width="10.88671875" style="10" bestFit="1" customWidth="1"/>
    <col min="1029" max="1029" width="18.33203125" style="10" bestFit="1" customWidth="1"/>
    <col min="1030" max="1030" width="13.33203125" style="10" customWidth="1"/>
    <col min="1031" max="1280" width="9.109375" style="10"/>
    <col min="1281" max="1281" width="64.33203125" style="10" bestFit="1" customWidth="1"/>
    <col min="1282" max="1282" width="11.88671875" style="10" customWidth="1"/>
    <col min="1283" max="1283" width="12.33203125" style="10" customWidth="1"/>
    <col min="1284" max="1284" width="10.88671875" style="10" bestFit="1" customWidth="1"/>
    <col min="1285" max="1285" width="18.33203125" style="10" bestFit="1" customWidth="1"/>
    <col min="1286" max="1286" width="13.33203125" style="10" customWidth="1"/>
    <col min="1287" max="1536" width="9.109375" style="10"/>
    <col min="1537" max="1537" width="64.33203125" style="10" bestFit="1" customWidth="1"/>
    <col min="1538" max="1538" width="11.88671875" style="10" customWidth="1"/>
    <col min="1539" max="1539" width="12.33203125" style="10" customWidth="1"/>
    <col min="1540" max="1540" width="10.88671875" style="10" bestFit="1" customWidth="1"/>
    <col min="1541" max="1541" width="18.33203125" style="10" bestFit="1" customWidth="1"/>
    <col min="1542" max="1542" width="13.33203125" style="10" customWidth="1"/>
    <col min="1543" max="1792" width="9.109375" style="10"/>
    <col min="1793" max="1793" width="64.33203125" style="10" bestFit="1" customWidth="1"/>
    <col min="1794" max="1794" width="11.88671875" style="10" customWidth="1"/>
    <col min="1795" max="1795" width="12.33203125" style="10" customWidth="1"/>
    <col min="1796" max="1796" width="10.88671875" style="10" bestFit="1" customWidth="1"/>
    <col min="1797" max="1797" width="18.33203125" style="10" bestFit="1" customWidth="1"/>
    <col min="1798" max="1798" width="13.33203125" style="10" customWidth="1"/>
    <col min="1799" max="2048" width="9.109375" style="10"/>
    <col min="2049" max="2049" width="64.33203125" style="10" bestFit="1" customWidth="1"/>
    <col min="2050" max="2050" width="11.88671875" style="10" customWidth="1"/>
    <col min="2051" max="2051" width="12.33203125" style="10" customWidth="1"/>
    <col min="2052" max="2052" width="10.88671875" style="10" bestFit="1" customWidth="1"/>
    <col min="2053" max="2053" width="18.33203125" style="10" bestFit="1" customWidth="1"/>
    <col min="2054" max="2054" width="13.33203125" style="10" customWidth="1"/>
    <col min="2055" max="2304" width="9.109375" style="10"/>
    <col min="2305" max="2305" width="64.33203125" style="10" bestFit="1" customWidth="1"/>
    <col min="2306" max="2306" width="11.88671875" style="10" customWidth="1"/>
    <col min="2307" max="2307" width="12.33203125" style="10" customWidth="1"/>
    <col min="2308" max="2308" width="10.88671875" style="10" bestFit="1" customWidth="1"/>
    <col min="2309" max="2309" width="18.33203125" style="10" bestFit="1" customWidth="1"/>
    <col min="2310" max="2310" width="13.33203125" style="10" customWidth="1"/>
    <col min="2311" max="2560" width="9.109375" style="10"/>
    <col min="2561" max="2561" width="64.33203125" style="10" bestFit="1" customWidth="1"/>
    <col min="2562" max="2562" width="11.88671875" style="10" customWidth="1"/>
    <col min="2563" max="2563" width="12.33203125" style="10" customWidth="1"/>
    <col min="2564" max="2564" width="10.88671875" style="10" bestFit="1" customWidth="1"/>
    <col min="2565" max="2565" width="18.33203125" style="10" bestFit="1" customWidth="1"/>
    <col min="2566" max="2566" width="13.33203125" style="10" customWidth="1"/>
    <col min="2567" max="2816" width="9.109375" style="10"/>
    <col min="2817" max="2817" width="64.33203125" style="10" bestFit="1" customWidth="1"/>
    <col min="2818" max="2818" width="11.88671875" style="10" customWidth="1"/>
    <col min="2819" max="2819" width="12.33203125" style="10" customWidth="1"/>
    <col min="2820" max="2820" width="10.88671875" style="10" bestFit="1" customWidth="1"/>
    <col min="2821" max="2821" width="18.33203125" style="10" bestFit="1" customWidth="1"/>
    <col min="2822" max="2822" width="13.33203125" style="10" customWidth="1"/>
    <col min="2823" max="3072" width="9.109375" style="10"/>
    <col min="3073" max="3073" width="64.33203125" style="10" bestFit="1" customWidth="1"/>
    <col min="3074" max="3074" width="11.88671875" style="10" customWidth="1"/>
    <col min="3075" max="3075" width="12.33203125" style="10" customWidth="1"/>
    <col min="3076" max="3076" width="10.88671875" style="10" bestFit="1" customWidth="1"/>
    <col min="3077" max="3077" width="18.33203125" style="10" bestFit="1" customWidth="1"/>
    <col min="3078" max="3078" width="13.33203125" style="10" customWidth="1"/>
    <col min="3079" max="3328" width="9.109375" style="10"/>
    <col min="3329" max="3329" width="64.33203125" style="10" bestFit="1" customWidth="1"/>
    <col min="3330" max="3330" width="11.88671875" style="10" customWidth="1"/>
    <col min="3331" max="3331" width="12.33203125" style="10" customWidth="1"/>
    <col min="3332" max="3332" width="10.88671875" style="10" bestFit="1" customWidth="1"/>
    <col min="3333" max="3333" width="18.33203125" style="10" bestFit="1" customWidth="1"/>
    <col min="3334" max="3334" width="13.33203125" style="10" customWidth="1"/>
    <col min="3335" max="3584" width="9.109375" style="10"/>
    <col min="3585" max="3585" width="64.33203125" style="10" bestFit="1" customWidth="1"/>
    <col min="3586" max="3586" width="11.88671875" style="10" customWidth="1"/>
    <col min="3587" max="3587" width="12.33203125" style="10" customWidth="1"/>
    <col min="3588" max="3588" width="10.88671875" style="10" bestFit="1" customWidth="1"/>
    <col min="3589" max="3589" width="18.33203125" style="10" bestFit="1" customWidth="1"/>
    <col min="3590" max="3590" width="13.33203125" style="10" customWidth="1"/>
    <col min="3591" max="3840" width="9.109375" style="10"/>
    <col min="3841" max="3841" width="64.33203125" style="10" bestFit="1" customWidth="1"/>
    <col min="3842" max="3842" width="11.88671875" style="10" customWidth="1"/>
    <col min="3843" max="3843" width="12.33203125" style="10" customWidth="1"/>
    <col min="3844" max="3844" width="10.88671875" style="10" bestFit="1" customWidth="1"/>
    <col min="3845" max="3845" width="18.33203125" style="10" bestFit="1" customWidth="1"/>
    <col min="3846" max="3846" width="13.33203125" style="10" customWidth="1"/>
    <col min="3847" max="4096" width="9.109375" style="10"/>
    <col min="4097" max="4097" width="64.33203125" style="10" bestFit="1" customWidth="1"/>
    <col min="4098" max="4098" width="11.88671875" style="10" customWidth="1"/>
    <col min="4099" max="4099" width="12.33203125" style="10" customWidth="1"/>
    <col min="4100" max="4100" width="10.88671875" style="10" bestFit="1" customWidth="1"/>
    <col min="4101" max="4101" width="18.33203125" style="10" bestFit="1" customWidth="1"/>
    <col min="4102" max="4102" width="13.33203125" style="10" customWidth="1"/>
    <col min="4103" max="4352" width="9.109375" style="10"/>
    <col min="4353" max="4353" width="64.33203125" style="10" bestFit="1" customWidth="1"/>
    <col min="4354" max="4354" width="11.88671875" style="10" customWidth="1"/>
    <col min="4355" max="4355" width="12.33203125" style="10" customWidth="1"/>
    <col min="4356" max="4356" width="10.88671875" style="10" bestFit="1" customWidth="1"/>
    <col min="4357" max="4357" width="18.33203125" style="10" bestFit="1" customWidth="1"/>
    <col min="4358" max="4358" width="13.33203125" style="10" customWidth="1"/>
    <col min="4359" max="4608" width="9.109375" style="10"/>
    <col min="4609" max="4609" width="64.33203125" style="10" bestFit="1" customWidth="1"/>
    <col min="4610" max="4610" width="11.88671875" style="10" customWidth="1"/>
    <col min="4611" max="4611" width="12.33203125" style="10" customWidth="1"/>
    <col min="4612" max="4612" width="10.88671875" style="10" bestFit="1" customWidth="1"/>
    <col min="4613" max="4613" width="18.33203125" style="10" bestFit="1" customWidth="1"/>
    <col min="4614" max="4614" width="13.33203125" style="10" customWidth="1"/>
    <col min="4615" max="4864" width="9.109375" style="10"/>
    <col min="4865" max="4865" width="64.33203125" style="10" bestFit="1" customWidth="1"/>
    <col min="4866" max="4866" width="11.88671875" style="10" customWidth="1"/>
    <col min="4867" max="4867" width="12.33203125" style="10" customWidth="1"/>
    <col min="4868" max="4868" width="10.88671875" style="10" bestFit="1" customWidth="1"/>
    <col min="4869" max="4869" width="18.33203125" style="10" bestFit="1" customWidth="1"/>
    <col min="4870" max="4870" width="13.33203125" style="10" customWidth="1"/>
    <col min="4871" max="5120" width="9.109375" style="10"/>
    <col min="5121" max="5121" width="64.33203125" style="10" bestFit="1" customWidth="1"/>
    <col min="5122" max="5122" width="11.88671875" style="10" customWidth="1"/>
    <col min="5123" max="5123" width="12.33203125" style="10" customWidth="1"/>
    <col min="5124" max="5124" width="10.88671875" style="10" bestFit="1" customWidth="1"/>
    <col min="5125" max="5125" width="18.33203125" style="10" bestFit="1" customWidth="1"/>
    <col min="5126" max="5126" width="13.33203125" style="10" customWidth="1"/>
    <col min="5127" max="5376" width="9.109375" style="10"/>
    <col min="5377" max="5377" width="64.33203125" style="10" bestFit="1" customWidth="1"/>
    <col min="5378" max="5378" width="11.88671875" style="10" customWidth="1"/>
    <col min="5379" max="5379" width="12.33203125" style="10" customWidth="1"/>
    <col min="5380" max="5380" width="10.88671875" style="10" bestFit="1" customWidth="1"/>
    <col min="5381" max="5381" width="18.33203125" style="10" bestFit="1" customWidth="1"/>
    <col min="5382" max="5382" width="13.33203125" style="10" customWidth="1"/>
    <col min="5383" max="5632" width="9.109375" style="10"/>
    <col min="5633" max="5633" width="64.33203125" style="10" bestFit="1" customWidth="1"/>
    <col min="5634" max="5634" width="11.88671875" style="10" customWidth="1"/>
    <col min="5635" max="5635" width="12.33203125" style="10" customWidth="1"/>
    <col min="5636" max="5636" width="10.88671875" style="10" bestFit="1" customWidth="1"/>
    <col min="5637" max="5637" width="18.33203125" style="10" bestFit="1" customWidth="1"/>
    <col min="5638" max="5638" width="13.33203125" style="10" customWidth="1"/>
    <col min="5639" max="5888" width="9.109375" style="10"/>
    <col min="5889" max="5889" width="64.33203125" style="10" bestFit="1" customWidth="1"/>
    <col min="5890" max="5890" width="11.88671875" style="10" customWidth="1"/>
    <col min="5891" max="5891" width="12.33203125" style="10" customWidth="1"/>
    <col min="5892" max="5892" width="10.88671875" style="10" bestFit="1" customWidth="1"/>
    <col min="5893" max="5893" width="18.33203125" style="10" bestFit="1" customWidth="1"/>
    <col min="5894" max="5894" width="13.33203125" style="10" customWidth="1"/>
    <col min="5895" max="6144" width="9.109375" style="10"/>
    <col min="6145" max="6145" width="64.33203125" style="10" bestFit="1" customWidth="1"/>
    <col min="6146" max="6146" width="11.88671875" style="10" customWidth="1"/>
    <col min="6147" max="6147" width="12.33203125" style="10" customWidth="1"/>
    <col min="6148" max="6148" width="10.88671875" style="10" bestFit="1" customWidth="1"/>
    <col min="6149" max="6149" width="18.33203125" style="10" bestFit="1" customWidth="1"/>
    <col min="6150" max="6150" width="13.33203125" style="10" customWidth="1"/>
    <col min="6151" max="6400" width="9.109375" style="10"/>
    <col min="6401" max="6401" width="64.33203125" style="10" bestFit="1" customWidth="1"/>
    <col min="6402" max="6402" width="11.88671875" style="10" customWidth="1"/>
    <col min="6403" max="6403" width="12.33203125" style="10" customWidth="1"/>
    <col min="6404" max="6404" width="10.88671875" style="10" bestFit="1" customWidth="1"/>
    <col min="6405" max="6405" width="18.33203125" style="10" bestFit="1" customWidth="1"/>
    <col min="6406" max="6406" width="13.33203125" style="10" customWidth="1"/>
    <col min="6407" max="6656" width="9.109375" style="10"/>
    <col min="6657" max="6657" width="64.33203125" style="10" bestFit="1" customWidth="1"/>
    <col min="6658" max="6658" width="11.88671875" style="10" customWidth="1"/>
    <col min="6659" max="6659" width="12.33203125" style="10" customWidth="1"/>
    <col min="6660" max="6660" width="10.88671875" style="10" bestFit="1" customWidth="1"/>
    <col min="6661" max="6661" width="18.33203125" style="10" bestFit="1" customWidth="1"/>
    <col min="6662" max="6662" width="13.33203125" style="10" customWidth="1"/>
    <col min="6663" max="6912" width="9.109375" style="10"/>
    <col min="6913" max="6913" width="64.33203125" style="10" bestFit="1" customWidth="1"/>
    <col min="6914" max="6914" width="11.88671875" style="10" customWidth="1"/>
    <col min="6915" max="6915" width="12.33203125" style="10" customWidth="1"/>
    <col min="6916" max="6916" width="10.88671875" style="10" bestFit="1" customWidth="1"/>
    <col min="6917" max="6917" width="18.33203125" style="10" bestFit="1" customWidth="1"/>
    <col min="6918" max="6918" width="13.33203125" style="10" customWidth="1"/>
    <col min="6919" max="7168" width="9.109375" style="10"/>
    <col min="7169" max="7169" width="64.33203125" style="10" bestFit="1" customWidth="1"/>
    <col min="7170" max="7170" width="11.88671875" style="10" customWidth="1"/>
    <col min="7171" max="7171" width="12.33203125" style="10" customWidth="1"/>
    <col min="7172" max="7172" width="10.88671875" style="10" bestFit="1" customWidth="1"/>
    <col min="7173" max="7173" width="18.33203125" style="10" bestFit="1" customWidth="1"/>
    <col min="7174" max="7174" width="13.33203125" style="10" customWidth="1"/>
    <col min="7175" max="7424" width="9.109375" style="10"/>
    <col min="7425" max="7425" width="64.33203125" style="10" bestFit="1" customWidth="1"/>
    <col min="7426" max="7426" width="11.88671875" style="10" customWidth="1"/>
    <col min="7427" max="7427" width="12.33203125" style="10" customWidth="1"/>
    <col min="7428" max="7428" width="10.88671875" style="10" bestFit="1" customWidth="1"/>
    <col min="7429" max="7429" width="18.33203125" style="10" bestFit="1" customWidth="1"/>
    <col min="7430" max="7430" width="13.33203125" style="10" customWidth="1"/>
    <col min="7431" max="7680" width="9.109375" style="10"/>
    <col min="7681" max="7681" width="64.33203125" style="10" bestFit="1" customWidth="1"/>
    <col min="7682" max="7682" width="11.88671875" style="10" customWidth="1"/>
    <col min="7683" max="7683" width="12.33203125" style="10" customWidth="1"/>
    <col min="7684" max="7684" width="10.88671875" style="10" bestFit="1" customWidth="1"/>
    <col min="7685" max="7685" width="18.33203125" style="10" bestFit="1" customWidth="1"/>
    <col min="7686" max="7686" width="13.33203125" style="10" customWidth="1"/>
    <col min="7687" max="7936" width="9.109375" style="10"/>
    <col min="7937" max="7937" width="64.33203125" style="10" bestFit="1" customWidth="1"/>
    <col min="7938" max="7938" width="11.88671875" style="10" customWidth="1"/>
    <col min="7939" max="7939" width="12.33203125" style="10" customWidth="1"/>
    <col min="7940" max="7940" width="10.88671875" style="10" bestFit="1" customWidth="1"/>
    <col min="7941" max="7941" width="18.33203125" style="10" bestFit="1" customWidth="1"/>
    <col min="7942" max="7942" width="13.33203125" style="10" customWidth="1"/>
    <col min="7943" max="8192" width="9.109375" style="10"/>
    <col min="8193" max="8193" width="64.33203125" style="10" bestFit="1" customWidth="1"/>
    <col min="8194" max="8194" width="11.88671875" style="10" customWidth="1"/>
    <col min="8195" max="8195" width="12.33203125" style="10" customWidth="1"/>
    <col min="8196" max="8196" width="10.88671875" style="10" bestFit="1" customWidth="1"/>
    <col min="8197" max="8197" width="18.33203125" style="10" bestFit="1" customWidth="1"/>
    <col min="8198" max="8198" width="13.33203125" style="10" customWidth="1"/>
    <col min="8199" max="8448" width="9.109375" style="10"/>
    <col min="8449" max="8449" width="64.33203125" style="10" bestFit="1" customWidth="1"/>
    <col min="8450" max="8450" width="11.88671875" style="10" customWidth="1"/>
    <col min="8451" max="8451" width="12.33203125" style="10" customWidth="1"/>
    <col min="8452" max="8452" width="10.88671875" style="10" bestFit="1" customWidth="1"/>
    <col min="8453" max="8453" width="18.33203125" style="10" bestFit="1" customWidth="1"/>
    <col min="8454" max="8454" width="13.33203125" style="10" customWidth="1"/>
    <col min="8455" max="8704" width="9.109375" style="10"/>
    <col min="8705" max="8705" width="64.33203125" style="10" bestFit="1" customWidth="1"/>
    <col min="8706" max="8706" width="11.88671875" style="10" customWidth="1"/>
    <col min="8707" max="8707" width="12.33203125" style="10" customWidth="1"/>
    <col min="8708" max="8708" width="10.88671875" style="10" bestFit="1" customWidth="1"/>
    <col min="8709" max="8709" width="18.33203125" style="10" bestFit="1" customWidth="1"/>
    <col min="8710" max="8710" width="13.33203125" style="10" customWidth="1"/>
    <col min="8711" max="8960" width="9.109375" style="10"/>
    <col min="8961" max="8961" width="64.33203125" style="10" bestFit="1" customWidth="1"/>
    <col min="8962" max="8962" width="11.88671875" style="10" customWidth="1"/>
    <col min="8963" max="8963" width="12.33203125" style="10" customWidth="1"/>
    <col min="8964" max="8964" width="10.88671875" style="10" bestFit="1" customWidth="1"/>
    <col min="8965" max="8965" width="18.33203125" style="10" bestFit="1" customWidth="1"/>
    <col min="8966" max="8966" width="13.33203125" style="10" customWidth="1"/>
    <col min="8967" max="9216" width="9.109375" style="10"/>
    <col min="9217" max="9217" width="64.33203125" style="10" bestFit="1" customWidth="1"/>
    <col min="9218" max="9218" width="11.88671875" style="10" customWidth="1"/>
    <col min="9219" max="9219" width="12.33203125" style="10" customWidth="1"/>
    <col min="9220" max="9220" width="10.88671875" style="10" bestFit="1" customWidth="1"/>
    <col min="9221" max="9221" width="18.33203125" style="10" bestFit="1" customWidth="1"/>
    <col min="9222" max="9222" width="13.33203125" style="10" customWidth="1"/>
    <col min="9223" max="9472" width="9.109375" style="10"/>
    <col min="9473" max="9473" width="64.33203125" style="10" bestFit="1" customWidth="1"/>
    <col min="9474" max="9474" width="11.88671875" style="10" customWidth="1"/>
    <col min="9475" max="9475" width="12.33203125" style="10" customWidth="1"/>
    <col min="9476" max="9476" width="10.88671875" style="10" bestFit="1" customWidth="1"/>
    <col min="9477" max="9477" width="18.33203125" style="10" bestFit="1" customWidth="1"/>
    <col min="9478" max="9478" width="13.33203125" style="10" customWidth="1"/>
    <col min="9479" max="9728" width="9.109375" style="10"/>
    <col min="9729" max="9729" width="64.33203125" style="10" bestFit="1" customWidth="1"/>
    <col min="9730" max="9730" width="11.88671875" style="10" customWidth="1"/>
    <col min="9731" max="9731" width="12.33203125" style="10" customWidth="1"/>
    <col min="9732" max="9732" width="10.88671875" style="10" bestFit="1" customWidth="1"/>
    <col min="9733" max="9733" width="18.33203125" style="10" bestFit="1" customWidth="1"/>
    <col min="9734" max="9734" width="13.33203125" style="10" customWidth="1"/>
    <col min="9735" max="9984" width="9.109375" style="10"/>
    <col min="9985" max="9985" width="64.33203125" style="10" bestFit="1" customWidth="1"/>
    <col min="9986" max="9986" width="11.88671875" style="10" customWidth="1"/>
    <col min="9987" max="9987" width="12.33203125" style="10" customWidth="1"/>
    <col min="9988" max="9988" width="10.88671875" style="10" bestFit="1" customWidth="1"/>
    <col min="9989" max="9989" width="18.33203125" style="10" bestFit="1" customWidth="1"/>
    <col min="9990" max="9990" width="13.33203125" style="10" customWidth="1"/>
    <col min="9991" max="10240" width="9.109375" style="10"/>
    <col min="10241" max="10241" width="64.33203125" style="10" bestFit="1" customWidth="1"/>
    <col min="10242" max="10242" width="11.88671875" style="10" customWidth="1"/>
    <col min="10243" max="10243" width="12.33203125" style="10" customWidth="1"/>
    <col min="10244" max="10244" width="10.88671875" style="10" bestFit="1" customWidth="1"/>
    <col min="10245" max="10245" width="18.33203125" style="10" bestFit="1" customWidth="1"/>
    <col min="10246" max="10246" width="13.33203125" style="10" customWidth="1"/>
    <col min="10247" max="10496" width="9.109375" style="10"/>
    <col min="10497" max="10497" width="64.33203125" style="10" bestFit="1" customWidth="1"/>
    <col min="10498" max="10498" width="11.88671875" style="10" customWidth="1"/>
    <col min="10499" max="10499" width="12.33203125" style="10" customWidth="1"/>
    <col min="10500" max="10500" width="10.88671875" style="10" bestFit="1" customWidth="1"/>
    <col min="10501" max="10501" width="18.33203125" style="10" bestFit="1" customWidth="1"/>
    <col min="10502" max="10502" width="13.33203125" style="10" customWidth="1"/>
    <col min="10503" max="10752" width="9.109375" style="10"/>
    <col min="10753" max="10753" width="64.33203125" style="10" bestFit="1" customWidth="1"/>
    <col min="10754" max="10754" width="11.88671875" style="10" customWidth="1"/>
    <col min="10755" max="10755" width="12.33203125" style="10" customWidth="1"/>
    <col min="10756" max="10756" width="10.88671875" style="10" bestFit="1" customWidth="1"/>
    <col min="10757" max="10757" width="18.33203125" style="10" bestFit="1" customWidth="1"/>
    <col min="10758" max="10758" width="13.33203125" style="10" customWidth="1"/>
    <col min="10759" max="11008" width="9.109375" style="10"/>
    <col min="11009" max="11009" width="64.33203125" style="10" bestFit="1" customWidth="1"/>
    <col min="11010" max="11010" width="11.88671875" style="10" customWidth="1"/>
    <col min="11011" max="11011" width="12.33203125" style="10" customWidth="1"/>
    <col min="11012" max="11012" width="10.88671875" style="10" bestFit="1" customWidth="1"/>
    <col min="11013" max="11013" width="18.33203125" style="10" bestFit="1" customWidth="1"/>
    <col min="11014" max="11014" width="13.33203125" style="10" customWidth="1"/>
    <col min="11015" max="11264" width="9.109375" style="10"/>
    <col min="11265" max="11265" width="64.33203125" style="10" bestFit="1" customWidth="1"/>
    <col min="11266" max="11266" width="11.88671875" style="10" customWidth="1"/>
    <col min="11267" max="11267" width="12.33203125" style="10" customWidth="1"/>
    <col min="11268" max="11268" width="10.88671875" style="10" bestFit="1" customWidth="1"/>
    <col min="11269" max="11269" width="18.33203125" style="10" bestFit="1" customWidth="1"/>
    <col min="11270" max="11270" width="13.33203125" style="10" customWidth="1"/>
    <col min="11271" max="11520" width="9.109375" style="10"/>
    <col min="11521" max="11521" width="64.33203125" style="10" bestFit="1" customWidth="1"/>
    <col min="11522" max="11522" width="11.88671875" style="10" customWidth="1"/>
    <col min="11523" max="11523" width="12.33203125" style="10" customWidth="1"/>
    <col min="11524" max="11524" width="10.88671875" style="10" bestFit="1" customWidth="1"/>
    <col min="11525" max="11525" width="18.33203125" style="10" bestFit="1" customWidth="1"/>
    <col min="11526" max="11526" width="13.33203125" style="10" customWidth="1"/>
    <col min="11527" max="11776" width="9.109375" style="10"/>
    <col min="11777" max="11777" width="64.33203125" style="10" bestFit="1" customWidth="1"/>
    <col min="11778" max="11778" width="11.88671875" style="10" customWidth="1"/>
    <col min="11779" max="11779" width="12.33203125" style="10" customWidth="1"/>
    <col min="11780" max="11780" width="10.88671875" style="10" bestFit="1" customWidth="1"/>
    <col min="11781" max="11781" width="18.33203125" style="10" bestFit="1" customWidth="1"/>
    <col min="11782" max="11782" width="13.33203125" style="10" customWidth="1"/>
    <col min="11783" max="12032" width="9.109375" style="10"/>
    <col min="12033" max="12033" width="64.33203125" style="10" bestFit="1" customWidth="1"/>
    <col min="12034" max="12034" width="11.88671875" style="10" customWidth="1"/>
    <col min="12035" max="12035" width="12.33203125" style="10" customWidth="1"/>
    <col min="12036" max="12036" width="10.88671875" style="10" bestFit="1" customWidth="1"/>
    <col min="12037" max="12037" width="18.33203125" style="10" bestFit="1" customWidth="1"/>
    <col min="12038" max="12038" width="13.33203125" style="10" customWidth="1"/>
    <col min="12039" max="12288" width="9.109375" style="10"/>
    <col min="12289" max="12289" width="64.33203125" style="10" bestFit="1" customWidth="1"/>
    <col min="12290" max="12290" width="11.88671875" style="10" customWidth="1"/>
    <col min="12291" max="12291" width="12.33203125" style="10" customWidth="1"/>
    <col min="12292" max="12292" width="10.88671875" style="10" bestFit="1" customWidth="1"/>
    <col min="12293" max="12293" width="18.33203125" style="10" bestFit="1" customWidth="1"/>
    <col min="12294" max="12294" width="13.33203125" style="10" customWidth="1"/>
    <col min="12295" max="12544" width="9.109375" style="10"/>
    <col min="12545" max="12545" width="64.33203125" style="10" bestFit="1" customWidth="1"/>
    <col min="12546" max="12546" width="11.88671875" style="10" customWidth="1"/>
    <col min="12547" max="12547" width="12.33203125" style="10" customWidth="1"/>
    <col min="12548" max="12548" width="10.88671875" style="10" bestFit="1" customWidth="1"/>
    <col min="12549" max="12549" width="18.33203125" style="10" bestFit="1" customWidth="1"/>
    <col min="12550" max="12550" width="13.33203125" style="10" customWidth="1"/>
    <col min="12551" max="12800" width="9.109375" style="10"/>
    <col min="12801" max="12801" width="64.33203125" style="10" bestFit="1" customWidth="1"/>
    <col min="12802" max="12802" width="11.88671875" style="10" customWidth="1"/>
    <col min="12803" max="12803" width="12.33203125" style="10" customWidth="1"/>
    <col min="12804" max="12804" width="10.88671875" style="10" bestFit="1" customWidth="1"/>
    <col min="12805" max="12805" width="18.33203125" style="10" bestFit="1" customWidth="1"/>
    <col min="12806" max="12806" width="13.33203125" style="10" customWidth="1"/>
    <col min="12807" max="13056" width="9.109375" style="10"/>
    <col min="13057" max="13057" width="64.33203125" style="10" bestFit="1" customWidth="1"/>
    <col min="13058" max="13058" width="11.88671875" style="10" customWidth="1"/>
    <col min="13059" max="13059" width="12.33203125" style="10" customWidth="1"/>
    <col min="13060" max="13060" width="10.88671875" style="10" bestFit="1" customWidth="1"/>
    <col min="13061" max="13061" width="18.33203125" style="10" bestFit="1" customWidth="1"/>
    <col min="13062" max="13062" width="13.33203125" style="10" customWidth="1"/>
    <col min="13063" max="13312" width="9.109375" style="10"/>
    <col min="13313" max="13313" width="64.33203125" style="10" bestFit="1" customWidth="1"/>
    <col min="13314" max="13314" width="11.88671875" style="10" customWidth="1"/>
    <col min="13315" max="13315" width="12.33203125" style="10" customWidth="1"/>
    <col min="13316" max="13316" width="10.88671875" style="10" bestFit="1" customWidth="1"/>
    <col min="13317" max="13317" width="18.33203125" style="10" bestFit="1" customWidth="1"/>
    <col min="13318" max="13318" width="13.33203125" style="10" customWidth="1"/>
    <col min="13319" max="13568" width="9.109375" style="10"/>
    <col min="13569" max="13569" width="64.33203125" style="10" bestFit="1" customWidth="1"/>
    <col min="13570" max="13570" width="11.88671875" style="10" customWidth="1"/>
    <col min="13571" max="13571" width="12.33203125" style="10" customWidth="1"/>
    <col min="13572" max="13572" width="10.88671875" style="10" bestFit="1" customWidth="1"/>
    <col min="13573" max="13573" width="18.33203125" style="10" bestFit="1" customWidth="1"/>
    <col min="13574" max="13574" width="13.33203125" style="10" customWidth="1"/>
    <col min="13575" max="13824" width="9.109375" style="10"/>
    <col min="13825" max="13825" width="64.33203125" style="10" bestFit="1" customWidth="1"/>
    <col min="13826" max="13826" width="11.88671875" style="10" customWidth="1"/>
    <col min="13827" max="13827" width="12.33203125" style="10" customWidth="1"/>
    <col min="13828" max="13828" width="10.88671875" style="10" bestFit="1" customWidth="1"/>
    <col min="13829" max="13829" width="18.33203125" style="10" bestFit="1" customWidth="1"/>
    <col min="13830" max="13830" width="13.33203125" style="10" customWidth="1"/>
    <col min="13831" max="14080" width="9.109375" style="10"/>
    <col min="14081" max="14081" width="64.33203125" style="10" bestFit="1" customWidth="1"/>
    <col min="14082" max="14082" width="11.88671875" style="10" customWidth="1"/>
    <col min="14083" max="14083" width="12.33203125" style="10" customWidth="1"/>
    <col min="14084" max="14084" width="10.88671875" style="10" bestFit="1" customWidth="1"/>
    <col min="14085" max="14085" width="18.33203125" style="10" bestFit="1" customWidth="1"/>
    <col min="14086" max="14086" width="13.33203125" style="10" customWidth="1"/>
    <col min="14087" max="14336" width="9.109375" style="10"/>
    <col min="14337" max="14337" width="64.33203125" style="10" bestFit="1" customWidth="1"/>
    <col min="14338" max="14338" width="11.88671875" style="10" customWidth="1"/>
    <col min="14339" max="14339" width="12.33203125" style="10" customWidth="1"/>
    <col min="14340" max="14340" width="10.88671875" style="10" bestFit="1" customWidth="1"/>
    <col min="14341" max="14341" width="18.33203125" style="10" bestFit="1" customWidth="1"/>
    <col min="14342" max="14342" width="13.33203125" style="10" customWidth="1"/>
    <col min="14343" max="14592" width="9.109375" style="10"/>
    <col min="14593" max="14593" width="64.33203125" style="10" bestFit="1" customWidth="1"/>
    <col min="14594" max="14594" width="11.88671875" style="10" customWidth="1"/>
    <col min="14595" max="14595" width="12.33203125" style="10" customWidth="1"/>
    <col min="14596" max="14596" width="10.88671875" style="10" bestFit="1" customWidth="1"/>
    <col min="14597" max="14597" width="18.33203125" style="10" bestFit="1" customWidth="1"/>
    <col min="14598" max="14598" width="13.33203125" style="10" customWidth="1"/>
    <col min="14599" max="14848" width="9.109375" style="10"/>
    <col min="14849" max="14849" width="64.33203125" style="10" bestFit="1" customWidth="1"/>
    <col min="14850" max="14850" width="11.88671875" style="10" customWidth="1"/>
    <col min="14851" max="14851" width="12.33203125" style="10" customWidth="1"/>
    <col min="14852" max="14852" width="10.88671875" style="10" bestFit="1" customWidth="1"/>
    <col min="14853" max="14853" width="18.33203125" style="10" bestFit="1" customWidth="1"/>
    <col min="14854" max="14854" width="13.33203125" style="10" customWidth="1"/>
    <col min="14855" max="15104" width="9.109375" style="10"/>
    <col min="15105" max="15105" width="64.33203125" style="10" bestFit="1" customWidth="1"/>
    <col min="15106" max="15106" width="11.88671875" style="10" customWidth="1"/>
    <col min="15107" max="15107" width="12.33203125" style="10" customWidth="1"/>
    <col min="15108" max="15108" width="10.88671875" style="10" bestFit="1" customWidth="1"/>
    <col min="15109" max="15109" width="18.33203125" style="10" bestFit="1" customWidth="1"/>
    <col min="15110" max="15110" width="13.33203125" style="10" customWidth="1"/>
    <col min="15111" max="15360" width="9.109375" style="10"/>
    <col min="15361" max="15361" width="64.33203125" style="10" bestFit="1" customWidth="1"/>
    <col min="15362" max="15362" width="11.88671875" style="10" customWidth="1"/>
    <col min="15363" max="15363" width="12.33203125" style="10" customWidth="1"/>
    <col min="15364" max="15364" width="10.88671875" style="10" bestFit="1" customWidth="1"/>
    <col min="15365" max="15365" width="18.33203125" style="10" bestFit="1" customWidth="1"/>
    <col min="15366" max="15366" width="13.33203125" style="10" customWidth="1"/>
    <col min="15367" max="15616" width="9.109375" style="10"/>
    <col min="15617" max="15617" width="64.33203125" style="10" bestFit="1" customWidth="1"/>
    <col min="15618" max="15618" width="11.88671875" style="10" customWidth="1"/>
    <col min="15619" max="15619" width="12.33203125" style="10" customWidth="1"/>
    <col min="15620" max="15620" width="10.88671875" style="10" bestFit="1" customWidth="1"/>
    <col min="15621" max="15621" width="18.33203125" style="10" bestFit="1" customWidth="1"/>
    <col min="15622" max="15622" width="13.33203125" style="10" customWidth="1"/>
    <col min="15623" max="15872" width="9.109375" style="10"/>
    <col min="15873" max="15873" width="64.33203125" style="10" bestFit="1" customWidth="1"/>
    <col min="15874" max="15874" width="11.88671875" style="10" customWidth="1"/>
    <col min="15875" max="15875" width="12.33203125" style="10" customWidth="1"/>
    <col min="15876" max="15876" width="10.88671875" style="10" bestFit="1" customWidth="1"/>
    <col min="15877" max="15877" width="18.33203125" style="10" bestFit="1" customWidth="1"/>
    <col min="15878" max="15878" width="13.33203125" style="10" customWidth="1"/>
    <col min="15879" max="16128" width="9.109375" style="10"/>
    <col min="16129" max="16129" width="64.33203125" style="10" bestFit="1" customWidth="1"/>
    <col min="16130" max="16130" width="11.88671875" style="10" customWidth="1"/>
    <col min="16131" max="16131" width="12.33203125" style="10" customWidth="1"/>
    <col min="16132" max="16132" width="10.88671875" style="10" bestFit="1" customWidth="1"/>
    <col min="16133" max="16133" width="18.33203125" style="10" bestFit="1" customWidth="1"/>
    <col min="16134" max="16134" width="13.33203125" style="10" customWidth="1"/>
    <col min="16135" max="16384" width="9.109375" style="10"/>
  </cols>
  <sheetData>
    <row r="1" spans="1:6" ht="16.5" customHeight="1" x14ac:dyDescent="0.25">
      <c r="B1" s="12"/>
      <c r="C1" s="12"/>
      <c r="D1" s="12"/>
      <c r="E1" s="12"/>
      <c r="F1" s="163" t="s">
        <v>1026</v>
      </c>
    </row>
    <row r="2" spans="1:6" ht="15" x14ac:dyDescent="0.25">
      <c r="A2" s="84"/>
      <c r="B2" s="84"/>
      <c r="C2" s="84"/>
      <c r="D2" s="84"/>
      <c r="E2" s="84"/>
    </row>
    <row r="3" spans="1:6" ht="16.8" x14ac:dyDescent="0.3">
      <c r="A3" s="374" t="s">
        <v>320</v>
      </c>
      <c r="B3" s="374"/>
      <c r="C3" s="374"/>
      <c r="D3" s="374"/>
      <c r="E3" s="374"/>
      <c r="F3" s="374"/>
    </row>
    <row r="4" spans="1:6" ht="16.8" x14ac:dyDescent="0.3">
      <c r="A4" s="374" t="s">
        <v>726</v>
      </c>
      <c r="B4" s="374"/>
      <c r="C4" s="374"/>
      <c r="D4" s="374"/>
      <c r="E4" s="374"/>
      <c r="F4" s="374"/>
    </row>
    <row r="5" spans="1:6" ht="16.8" x14ac:dyDescent="0.3">
      <c r="A5" s="375" t="s">
        <v>321</v>
      </c>
      <c r="B5" s="376" t="s">
        <v>322</v>
      </c>
      <c r="C5" s="376"/>
      <c r="D5" s="376"/>
      <c r="E5" s="376"/>
      <c r="F5" s="376"/>
    </row>
    <row r="6" spans="1:6" ht="67.2" x14ac:dyDescent="0.25">
      <c r="A6" s="375"/>
      <c r="B6" s="85" t="s">
        <v>323</v>
      </c>
      <c r="C6" s="85" t="s">
        <v>324</v>
      </c>
      <c r="D6" s="85" t="s">
        <v>325</v>
      </c>
      <c r="E6" s="86" t="s">
        <v>326</v>
      </c>
      <c r="F6" s="86" t="s">
        <v>155</v>
      </c>
    </row>
    <row r="7" spans="1:6" ht="16.8" x14ac:dyDescent="0.3">
      <c r="A7" s="87"/>
      <c r="B7" s="87"/>
      <c r="C7" s="87"/>
      <c r="D7" s="88"/>
      <c r="E7" s="89"/>
      <c r="F7" s="89"/>
    </row>
    <row r="8" spans="1:6" s="164" customFormat="1" ht="16.8" x14ac:dyDescent="0.3">
      <c r="A8" s="90" t="s">
        <v>526</v>
      </c>
      <c r="B8" s="90">
        <f>SUM(B9:B10)</f>
        <v>21</v>
      </c>
      <c r="C8" s="90">
        <f t="shared" ref="C8:F8" si="0">SUM(C9:C10)</f>
        <v>16</v>
      </c>
      <c r="D8" s="90">
        <f t="shared" si="0"/>
        <v>1</v>
      </c>
      <c r="E8" s="90">
        <f t="shared" si="0"/>
        <v>3</v>
      </c>
      <c r="F8" s="90">
        <f t="shared" si="0"/>
        <v>41</v>
      </c>
    </row>
    <row r="9" spans="1:6" ht="16.8" x14ac:dyDescent="0.3">
      <c r="A9" s="87" t="s">
        <v>561</v>
      </c>
      <c r="B9" s="87">
        <v>13</v>
      </c>
      <c r="C9" s="87">
        <v>10</v>
      </c>
      <c r="D9" s="87">
        <v>1</v>
      </c>
      <c r="E9" s="89">
        <v>1</v>
      </c>
      <c r="F9" s="89">
        <f>SUM(B9:E9)</f>
        <v>25</v>
      </c>
    </row>
    <row r="10" spans="1:6" ht="16.8" x14ac:dyDescent="0.3">
      <c r="A10" s="87" t="s">
        <v>562</v>
      </c>
      <c r="B10" s="87">
        <v>8</v>
      </c>
      <c r="C10" s="87">
        <v>6</v>
      </c>
      <c r="D10" s="87">
        <v>0</v>
      </c>
      <c r="E10" s="89">
        <v>2</v>
      </c>
      <c r="F10" s="89">
        <f>SUM(B10:E10)</f>
        <v>16</v>
      </c>
    </row>
    <row r="11" spans="1:6" ht="16.8" x14ac:dyDescent="0.3">
      <c r="A11" s="90" t="s">
        <v>487</v>
      </c>
      <c r="B11" s="90">
        <f>SUM(B12:B13)</f>
        <v>29</v>
      </c>
      <c r="C11" s="90">
        <f>SUM(C12:C13)</f>
        <v>13</v>
      </c>
      <c r="D11" s="90">
        <f>SUM(D12:D13)</f>
        <v>1</v>
      </c>
      <c r="E11" s="90">
        <f>SUM(E12:E13)</f>
        <v>2</v>
      </c>
      <c r="F11" s="90">
        <f>SUM(F12:F13)</f>
        <v>45</v>
      </c>
    </row>
    <row r="12" spans="1:6" ht="16.8" x14ac:dyDescent="0.3">
      <c r="A12" s="87" t="s">
        <v>563</v>
      </c>
      <c r="B12" s="87">
        <v>12</v>
      </c>
      <c r="C12" s="87">
        <v>9</v>
      </c>
      <c r="D12" s="87">
        <v>1</v>
      </c>
      <c r="E12" s="89">
        <v>1</v>
      </c>
      <c r="F12" s="89">
        <f>SUM(B12:E12)</f>
        <v>23</v>
      </c>
    </row>
    <row r="13" spans="1:6" ht="16.8" x14ac:dyDescent="0.3">
      <c r="A13" s="87" t="s">
        <v>564</v>
      </c>
      <c r="B13" s="87">
        <v>17</v>
      </c>
      <c r="C13" s="87">
        <v>4</v>
      </c>
      <c r="D13" s="87">
        <v>0</v>
      </c>
      <c r="E13" s="89">
        <v>1</v>
      </c>
      <c r="F13" s="89">
        <f>SUM(B13:E13)</f>
        <v>22</v>
      </c>
    </row>
    <row r="14" spans="1:6" s="164" customFormat="1" ht="16.8" x14ac:dyDescent="0.3">
      <c r="A14" s="90" t="s">
        <v>45</v>
      </c>
      <c r="B14" s="90">
        <v>20</v>
      </c>
      <c r="C14" s="90">
        <v>0</v>
      </c>
      <c r="D14" s="90">
        <v>5</v>
      </c>
      <c r="E14" s="97">
        <v>0</v>
      </c>
      <c r="F14" s="97">
        <f>SUM(B14:E14)</f>
        <v>25</v>
      </c>
    </row>
    <row r="15" spans="1:6" s="164" customFormat="1" ht="16.8" x14ac:dyDescent="0.3">
      <c r="A15" s="90" t="s">
        <v>599</v>
      </c>
      <c r="B15" s="90">
        <v>8</v>
      </c>
      <c r="C15" s="90">
        <v>11</v>
      </c>
      <c r="D15" s="90">
        <v>0</v>
      </c>
      <c r="E15" s="97">
        <v>0</v>
      </c>
      <c r="F15" s="97">
        <f>SUM(B15:E15)</f>
        <v>19</v>
      </c>
    </row>
    <row r="16" spans="1:6" ht="16.8" x14ac:dyDescent="0.3">
      <c r="A16" s="90" t="s">
        <v>46</v>
      </c>
      <c r="B16" s="90">
        <f>SUM(B17:B20)</f>
        <v>83</v>
      </c>
      <c r="C16" s="90">
        <f t="shared" ref="C16:F16" si="1">SUM(C17:C20)</f>
        <v>0</v>
      </c>
      <c r="D16" s="90">
        <f t="shared" si="1"/>
        <v>2</v>
      </c>
      <c r="E16" s="90">
        <f t="shared" si="1"/>
        <v>4</v>
      </c>
      <c r="F16" s="90">
        <f t="shared" si="1"/>
        <v>89</v>
      </c>
    </row>
    <row r="17" spans="1:6" ht="16.8" x14ac:dyDescent="0.3">
      <c r="A17" s="87" t="s">
        <v>565</v>
      </c>
      <c r="B17" s="87">
        <v>70</v>
      </c>
      <c r="C17" s="87">
        <v>0</v>
      </c>
      <c r="D17" s="87">
        <v>2</v>
      </c>
      <c r="E17" s="89">
        <v>4</v>
      </c>
      <c r="F17" s="89">
        <f>SUM(B17:E17)</f>
        <v>76</v>
      </c>
    </row>
    <row r="18" spans="1:6" ht="16.8" x14ac:dyDescent="0.3">
      <c r="A18" s="87" t="s">
        <v>566</v>
      </c>
      <c r="B18" s="87">
        <v>7</v>
      </c>
      <c r="C18" s="87">
        <v>0</v>
      </c>
      <c r="D18" s="87">
        <v>0</v>
      </c>
      <c r="E18" s="89">
        <v>0</v>
      </c>
      <c r="F18" s="89">
        <f>SUM(B18:E18)</f>
        <v>7</v>
      </c>
    </row>
    <row r="19" spans="1:6" s="9" customFormat="1" ht="16.8" x14ac:dyDescent="0.3">
      <c r="A19" s="87" t="s">
        <v>567</v>
      </c>
      <c r="B19" s="87">
        <v>3</v>
      </c>
      <c r="C19" s="87">
        <v>0</v>
      </c>
      <c r="D19" s="87">
        <v>0</v>
      </c>
      <c r="E19" s="89">
        <v>0</v>
      </c>
      <c r="F19" s="89">
        <f>SUM(B19:E19)</f>
        <v>3</v>
      </c>
    </row>
    <row r="20" spans="1:6" s="9" customFormat="1" ht="16.8" x14ac:dyDescent="0.3">
      <c r="A20" s="87" t="s">
        <v>568</v>
      </c>
      <c r="B20" s="87">
        <v>3</v>
      </c>
      <c r="C20" s="87">
        <v>0</v>
      </c>
      <c r="D20" s="87">
        <v>0</v>
      </c>
      <c r="E20" s="89">
        <v>0</v>
      </c>
      <c r="F20" s="89">
        <f>SUM(B20:E20)</f>
        <v>3</v>
      </c>
    </row>
    <row r="21" spans="1:6" s="164" customFormat="1" ht="16.8" x14ac:dyDescent="0.3">
      <c r="A21" s="90" t="s">
        <v>31</v>
      </c>
      <c r="B21" s="90">
        <v>6</v>
      </c>
      <c r="C21" s="90">
        <v>0</v>
      </c>
      <c r="D21" s="90">
        <v>13</v>
      </c>
      <c r="E21" s="97">
        <v>0</v>
      </c>
      <c r="F21" s="97">
        <f>SUM(B21:E21)</f>
        <v>19</v>
      </c>
    </row>
    <row r="22" spans="1:6" ht="16.8" x14ac:dyDescent="0.3">
      <c r="A22" s="87"/>
      <c r="B22" s="87"/>
      <c r="C22" s="87"/>
      <c r="D22" s="87"/>
      <c r="E22" s="89"/>
      <c r="F22" s="89"/>
    </row>
    <row r="23" spans="1:6" ht="16.8" x14ac:dyDescent="0.3">
      <c r="A23" s="90" t="s">
        <v>718</v>
      </c>
      <c r="B23" s="91">
        <f>B8+B11+B14+B15+B16+B21</f>
        <v>167</v>
      </c>
      <c r="C23" s="91">
        <f>C8+C11+C14+C15+C16+C21</f>
        <v>40</v>
      </c>
      <c r="D23" s="91">
        <f>D8+D11+D14+D15+D16+D21</f>
        <v>22</v>
      </c>
      <c r="E23" s="91">
        <f>E8+E11+E14+E15+E16+E21</f>
        <v>9</v>
      </c>
      <c r="F23" s="91">
        <f>F8+F11+F14+F15+F16+F21</f>
        <v>238</v>
      </c>
    </row>
  </sheetData>
  <mergeCells count="4">
    <mergeCell ref="A3:F3"/>
    <mergeCell ref="A4:F4"/>
    <mergeCell ref="A5:A6"/>
    <mergeCell ref="B5:F5"/>
  </mergeCells>
  <pageMargins left="0.7" right="0.7" top="0.75" bottom="0.75" header="0.3" footer="0.3"/>
  <pageSetup paperSize="9" scale="6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E7094-ABFD-44D9-AC82-091AB63BCB38}">
  <sheetPr>
    <pageSetUpPr fitToPage="1"/>
  </sheetPr>
  <dimension ref="A1:K32"/>
  <sheetViews>
    <sheetView view="pageBreakPreview" zoomScale="110" zoomScaleNormal="100" zoomScaleSheetLayoutView="110" workbookViewId="0">
      <selection activeCell="A3" sqref="A3:J3"/>
    </sheetView>
  </sheetViews>
  <sheetFormatPr defaultRowHeight="13.2" x14ac:dyDescent="0.25"/>
  <cols>
    <col min="1" max="1" width="40" style="10" customWidth="1"/>
    <col min="2" max="5" width="10.44140625" style="10" customWidth="1"/>
    <col min="6" max="6" width="4.6640625" style="10" customWidth="1"/>
    <col min="7" max="7" width="32.44140625" style="10" customWidth="1"/>
    <col min="8" max="8" width="10.44140625" style="10" customWidth="1"/>
    <col min="9" max="9" width="10.6640625" style="10" bestFit="1" customWidth="1"/>
    <col min="10" max="11" width="9.88671875" style="10" customWidth="1"/>
    <col min="12" max="241" width="8.88671875" style="10"/>
    <col min="242" max="242" width="40" style="10" customWidth="1"/>
    <col min="243" max="243" width="12" style="10" customWidth="1"/>
    <col min="244" max="246" width="10.44140625" style="10" customWidth="1"/>
    <col min="247" max="247" width="11" style="10" customWidth="1"/>
    <col min="248" max="248" width="4.6640625" style="10" customWidth="1"/>
    <col min="249" max="249" width="32.44140625" style="10" customWidth="1"/>
    <col min="250" max="250" width="12" style="10" customWidth="1"/>
    <col min="251" max="253" width="13.5546875" style="10" customWidth="1"/>
    <col min="254" max="254" width="11" style="10" customWidth="1"/>
    <col min="255" max="497" width="8.88671875" style="10"/>
    <col min="498" max="498" width="40" style="10" customWidth="1"/>
    <col min="499" max="499" width="12" style="10" customWidth="1"/>
    <col min="500" max="502" width="10.44140625" style="10" customWidth="1"/>
    <col min="503" max="503" width="11" style="10" customWidth="1"/>
    <col min="504" max="504" width="4.6640625" style="10" customWidth="1"/>
    <col min="505" max="505" width="32.44140625" style="10" customWidth="1"/>
    <col min="506" max="506" width="12" style="10" customWidth="1"/>
    <col min="507" max="509" width="13.5546875" style="10" customWidth="1"/>
    <col min="510" max="510" width="11" style="10" customWidth="1"/>
    <col min="511" max="753" width="8.88671875" style="10"/>
    <col min="754" max="754" width="40" style="10" customWidth="1"/>
    <col min="755" max="755" width="12" style="10" customWidth="1"/>
    <col min="756" max="758" width="10.44140625" style="10" customWidth="1"/>
    <col min="759" max="759" width="11" style="10" customWidth="1"/>
    <col min="760" max="760" width="4.6640625" style="10" customWidth="1"/>
    <col min="761" max="761" width="32.44140625" style="10" customWidth="1"/>
    <col min="762" max="762" width="12" style="10" customWidth="1"/>
    <col min="763" max="765" width="13.5546875" style="10" customWidth="1"/>
    <col min="766" max="766" width="11" style="10" customWidth="1"/>
    <col min="767" max="1009" width="8.88671875" style="10"/>
    <col min="1010" max="1010" width="40" style="10" customWidth="1"/>
    <col min="1011" max="1011" width="12" style="10" customWidth="1"/>
    <col min="1012" max="1014" width="10.44140625" style="10" customWidth="1"/>
    <col min="1015" max="1015" width="11" style="10" customWidth="1"/>
    <col min="1016" max="1016" width="4.6640625" style="10" customWidth="1"/>
    <col min="1017" max="1017" width="32.44140625" style="10" customWidth="1"/>
    <col min="1018" max="1018" width="12" style="10" customWidth="1"/>
    <col min="1019" max="1021" width="13.5546875" style="10" customWidth="1"/>
    <col min="1022" max="1022" width="11" style="10" customWidth="1"/>
    <col min="1023" max="1265" width="8.88671875" style="10"/>
    <col min="1266" max="1266" width="40" style="10" customWidth="1"/>
    <col min="1267" max="1267" width="12" style="10" customWidth="1"/>
    <col min="1268" max="1270" width="10.44140625" style="10" customWidth="1"/>
    <col min="1271" max="1271" width="11" style="10" customWidth="1"/>
    <col min="1272" max="1272" width="4.6640625" style="10" customWidth="1"/>
    <col min="1273" max="1273" width="32.44140625" style="10" customWidth="1"/>
    <col min="1274" max="1274" width="12" style="10" customWidth="1"/>
    <col min="1275" max="1277" width="13.5546875" style="10" customWidth="1"/>
    <col min="1278" max="1278" width="11" style="10" customWidth="1"/>
    <col min="1279" max="1521" width="8.88671875" style="10"/>
    <col min="1522" max="1522" width="40" style="10" customWidth="1"/>
    <col min="1523" max="1523" width="12" style="10" customWidth="1"/>
    <col min="1524" max="1526" width="10.44140625" style="10" customWidth="1"/>
    <col min="1527" max="1527" width="11" style="10" customWidth="1"/>
    <col min="1528" max="1528" width="4.6640625" style="10" customWidth="1"/>
    <col min="1529" max="1529" width="32.44140625" style="10" customWidth="1"/>
    <col min="1530" max="1530" width="12" style="10" customWidth="1"/>
    <col min="1531" max="1533" width="13.5546875" style="10" customWidth="1"/>
    <col min="1534" max="1534" width="11" style="10" customWidth="1"/>
    <col min="1535" max="1777" width="8.88671875" style="10"/>
    <col min="1778" max="1778" width="40" style="10" customWidth="1"/>
    <col min="1779" max="1779" width="12" style="10" customWidth="1"/>
    <col min="1780" max="1782" width="10.44140625" style="10" customWidth="1"/>
    <col min="1783" max="1783" width="11" style="10" customWidth="1"/>
    <col min="1784" max="1784" width="4.6640625" style="10" customWidth="1"/>
    <col min="1785" max="1785" width="32.44140625" style="10" customWidth="1"/>
    <col min="1786" max="1786" width="12" style="10" customWidth="1"/>
    <col min="1787" max="1789" width="13.5546875" style="10" customWidth="1"/>
    <col min="1790" max="1790" width="11" style="10" customWidth="1"/>
    <col min="1791" max="2033" width="8.88671875" style="10"/>
    <col min="2034" max="2034" width="40" style="10" customWidth="1"/>
    <col min="2035" max="2035" width="12" style="10" customWidth="1"/>
    <col min="2036" max="2038" width="10.44140625" style="10" customWidth="1"/>
    <col min="2039" max="2039" width="11" style="10" customWidth="1"/>
    <col min="2040" max="2040" width="4.6640625" style="10" customWidth="1"/>
    <col min="2041" max="2041" width="32.44140625" style="10" customWidth="1"/>
    <col min="2042" max="2042" width="12" style="10" customWidth="1"/>
    <col min="2043" max="2045" width="13.5546875" style="10" customWidth="1"/>
    <col min="2046" max="2046" width="11" style="10" customWidth="1"/>
    <col min="2047" max="2289" width="8.88671875" style="10"/>
    <col min="2290" max="2290" width="40" style="10" customWidth="1"/>
    <col min="2291" max="2291" width="12" style="10" customWidth="1"/>
    <col min="2292" max="2294" width="10.44140625" style="10" customWidth="1"/>
    <col min="2295" max="2295" width="11" style="10" customWidth="1"/>
    <col min="2296" max="2296" width="4.6640625" style="10" customWidth="1"/>
    <col min="2297" max="2297" width="32.44140625" style="10" customWidth="1"/>
    <col min="2298" max="2298" width="12" style="10" customWidth="1"/>
    <col min="2299" max="2301" width="13.5546875" style="10" customWidth="1"/>
    <col min="2302" max="2302" width="11" style="10" customWidth="1"/>
    <col min="2303" max="2545" width="8.88671875" style="10"/>
    <col min="2546" max="2546" width="40" style="10" customWidth="1"/>
    <col min="2547" max="2547" width="12" style="10" customWidth="1"/>
    <col min="2548" max="2550" width="10.44140625" style="10" customWidth="1"/>
    <col min="2551" max="2551" width="11" style="10" customWidth="1"/>
    <col min="2552" max="2552" width="4.6640625" style="10" customWidth="1"/>
    <col min="2553" max="2553" width="32.44140625" style="10" customWidth="1"/>
    <col min="2554" max="2554" width="12" style="10" customWidth="1"/>
    <col min="2555" max="2557" width="13.5546875" style="10" customWidth="1"/>
    <col min="2558" max="2558" width="11" style="10" customWidth="1"/>
    <col min="2559" max="2801" width="8.88671875" style="10"/>
    <col min="2802" max="2802" width="40" style="10" customWidth="1"/>
    <col min="2803" max="2803" width="12" style="10" customWidth="1"/>
    <col min="2804" max="2806" width="10.44140625" style="10" customWidth="1"/>
    <col min="2807" max="2807" width="11" style="10" customWidth="1"/>
    <col min="2808" max="2808" width="4.6640625" style="10" customWidth="1"/>
    <col min="2809" max="2809" width="32.44140625" style="10" customWidth="1"/>
    <col min="2810" max="2810" width="12" style="10" customWidth="1"/>
    <col min="2811" max="2813" width="13.5546875" style="10" customWidth="1"/>
    <col min="2814" max="2814" width="11" style="10" customWidth="1"/>
    <col min="2815" max="3057" width="8.88671875" style="10"/>
    <col min="3058" max="3058" width="40" style="10" customWidth="1"/>
    <col min="3059" max="3059" width="12" style="10" customWidth="1"/>
    <col min="3060" max="3062" width="10.44140625" style="10" customWidth="1"/>
    <col min="3063" max="3063" width="11" style="10" customWidth="1"/>
    <col min="3064" max="3064" width="4.6640625" style="10" customWidth="1"/>
    <col min="3065" max="3065" width="32.44140625" style="10" customWidth="1"/>
    <col min="3066" max="3066" width="12" style="10" customWidth="1"/>
    <col min="3067" max="3069" width="13.5546875" style="10" customWidth="1"/>
    <col min="3070" max="3070" width="11" style="10" customWidth="1"/>
    <col min="3071" max="3313" width="8.88671875" style="10"/>
    <col min="3314" max="3314" width="40" style="10" customWidth="1"/>
    <col min="3315" max="3315" width="12" style="10" customWidth="1"/>
    <col min="3316" max="3318" width="10.44140625" style="10" customWidth="1"/>
    <col min="3319" max="3319" width="11" style="10" customWidth="1"/>
    <col min="3320" max="3320" width="4.6640625" style="10" customWidth="1"/>
    <col min="3321" max="3321" width="32.44140625" style="10" customWidth="1"/>
    <col min="3322" max="3322" width="12" style="10" customWidth="1"/>
    <col min="3323" max="3325" width="13.5546875" style="10" customWidth="1"/>
    <col min="3326" max="3326" width="11" style="10" customWidth="1"/>
    <col min="3327" max="3569" width="8.88671875" style="10"/>
    <col min="3570" max="3570" width="40" style="10" customWidth="1"/>
    <col min="3571" max="3571" width="12" style="10" customWidth="1"/>
    <col min="3572" max="3574" width="10.44140625" style="10" customWidth="1"/>
    <col min="3575" max="3575" width="11" style="10" customWidth="1"/>
    <col min="3576" max="3576" width="4.6640625" style="10" customWidth="1"/>
    <col min="3577" max="3577" width="32.44140625" style="10" customWidth="1"/>
    <col min="3578" max="3578" width="12" style="10" customWidth="1"/>
    <col min="3579" max="3581" width="13.5546875" style="10" customWidth="1"/>
    <col min="3582" max="3582" width="11" style="10" customWidth="1"/>
    <col min="3583" max="3825" width="8.88671875" style="10"/>
    <col min="3826" max="3826" width="40" style="10" customWidth="1"/>
    <col min="3827" max="3827" width="12" style="10" customWidth="1"/>
    <col min="3828" max="3830" width="10.44140625" style="10" customWidth="1"/>
    <col min="3831" max="3831" width="11" style="10" customWidth="1"/>
    <col min="3832" max="3832" width="4.6640625" style="10" customWidth="1"/>
    <col min="3833" max="3833" width="32.44140625" style="10" customWidth="1"/>
    <col min="3834" max="3834" width="12" style="10" customWidth="1"/>
    <col min="3835" max="3837" width="13.5546875" style="10" customWidth="1"/>
    <col min="3838" max="3838" width="11" style="10" customWidth="1"/>
    <col min="3839" max="4081" width="8.88671875" style="10"/>
    <col min="4082" max="4082" width="40" style="10" customWidth="1"/>
    <col min="4083" max="4083" width="12" style="10" customWidth="1"/>
    <col min="4084" max="4086" width="10.44140625" style="10" customWidth="1"/>
    <col min="4087" max="4087" width="11" style="10" customWidth="1"/>
    <col min="4088" max="4088" width="4.6640625" style="10" customWidth="1"/>
    <col min="4089" max="4089" width="32.44140625" style="10" customWidth="1"/>
    <col min="4090" max="4090" width="12" style="10" customWidth="1"/>
    <col min="4091" max="4093" width="13.5546875" style="10" customWidth="1"/>
    <col min="4094" max="4094" width="11" style="10" customWidth="1"/>
    <col min="4095" max="4337" width="8.88671875" style="10"/>
    <col min="4338" max="4338" width="40" style="10" customWidth="1"/>
    <col min="4339" max="4339" width="12" style="10" customWidth="1"/>
    <col min="4340" max="4342" width="10.44140625" style="10" customWidth="1"/>
    <col min="4343" max="4343" width="11" style="10" customWidth="1"/>
    <col min="4344" max="4344" width="4.6640625" style="10" customWidth="1"/>
    <col min="4345" max="4345" width="32.44140625" style="10" customWidth="1"/>
    <col min="4346" max="4346" width="12" style="10" customWidth="1"/>
    <col min="4347" max="4349" width="13.5546875" style="10" customWidth="1"/>
    <col min="4350" max="4350" width="11" style="10" customWidth="1"/>
    <col min="4351" max="4593" width="8.88671875" style="10"/>
    <col min="4594" max="4594" width="40" style="10" customWidth="1"/>
    <col min="4595" max="4595" width="12" style="10" customWidth="1"/>
    <col min="4596" max="4598" width="10.44140625" style="10" customWidth="1"/>
    <col min="4599" max="4599" width="11" style="10" customWidth="1"/>
    <col min="4600" max="4600" width="4.6640625" style="10" customWidth="1"/>
    <col min="4601" max="4601" width="32.44140625" style="10" customWidth="1"/>
    <col min="4602" max="4602" width="12" style="10" customWidth="1"/>
    <col min="4603" max="4605" width="13.5546875" style="10" customWidth="1"/>
    <col min="4606" max="4606" width="11" style="10" customWidth="1"/>
    <col min="4607" max="4849" width="8.88671875" style="10"/>
    <col min="4850" max="4850" width="40" style="10" customWidth="1"/>
    <col min="4851" max="4851" width="12" style="10" customWidth="1"/>
    <col min="4852" max="4854" width="10.44140625" style="10" customWidth="1"/>
    <col min="4855" max="4855" width="11" style="10" customWidth="1"/>
    <col min="4856" max="4856" width="4.6640625" style="10" customWidth="1"/>
    <col min="4857" max="4857" width="32.44140625" style="10" customWidth="1"/>
    <col min="4858" max="4858" width="12" style="10" customWidth="1"/>
    <col min="4859" max="4861" width="13.5546875" style="10" customWidth="1"/>
    <col min="4862" max="4862" width="11" style="10" customWidth="1"/>
    <col min="4863" max="5105" width="8.88671875" style="10"/>
    <col min="5106" max="5106" width="40" style="10" customWidth="1"/>
    <col min="5107" max="5107" width="12" style="10" customWidth="1"/>
    <col min="5108" max="5110" width="10.44140625" style="10" customWidth="1"/>
    <col min="5111" max="5111" width="11" style="10" customWidth="1"/>
    <col min="5112" max="5112" width="4.6640625" style="10" customWidth="1"/>
    <col min="5113" max="5113" width="32.44140625" style="10" customWidth="1"/>
    <col min="5114" max="5114" width="12" style="10" customWidth="1"/>
    <col min="5115" max="5117" width="13.5546875" style="10" customWidth="1"/>
    <col min="5118" max="5118" width="11" style="10" customWidth="1"/>
    <col min="5119" max="5361" width="8.88671875" style="10"/>
    <col min="5362" max="5362" width="40" style="10" customWidth="1"/>
    <col min="5363" max="5363" width="12" style="10" customWidth="1"/>
    <col min="5364" max="5366" width="10.44140625" style="10" customWidth="1"/>
    <col min="5367" max="5367" width="11" style="10" customWidth="1"/>
    <col min="5368" max="5368" width="4.6640625" style="10" customWidth="1"/>
    <col min="5369" max="5369" width="32.44140625" style="10" customWidth="1"/>
    <col min="5370" max="5370" width="12" style="10" customWidth="1"/>
    <col min="5371" max="5373" width="13.5546875" style="10" customWidth="1"/>
    <col min="5374" max="5374" width="11" style="10" customWidth="1"/>
    <col min="5375" max="5617" width="8.88671875" style="10"/>
    <col min="5618" max="5618" width="40" style="10" customWidth="1"/>
    <col min="5619" max="5619" width="12" style="10" customWidth="1"/>
    <col min="5620" max="5622" width="10.44140625" style="10" customWidth="1"/>
    <col min="5623" max="5623" width="11" style="10" customWidth="1"/>
    <col min="5624" max="5624" width="4.6640625" style="10" customWidth="1"/>
    <col min="5625" max="5625" width="32.44140625" style="10" customWidth="1"/>
    <col min="5626" max="5626" width="12" style="10" customWidth="1"/>
    <col min="5627" max="5629" width="13.5546875" style="10" customWidth="1"/>
    <col min="5630" max="5630" width="11" style="10" customWidth="1"/>
    <col min="5631" max="5873" width="8.88671875" style="10"/>
    <col min="5874" max="5874" width="40" style="10" customWidth="1"/>
    <col min="5875" max="5875" width="12" style="10" customWidth="1"/>
    <col min="5876" max="5878" width="10.44140625" style="10" customWidth="1"/>
    <col min="5879" max="5879" width="11" style="10" customWidth="1"/>
    <col min="5880" max="5880" width="4.6640625" style="10" customWidth="1"/>
    <col min="5881" max="5881" width="32.44140625" style="10" customWidth="1"/>
    <col min="5882" max="5882" width="12" style="10" customWidth="1"/>
    <col min="5883" max="5885" width="13.5546875" style="10" customWidth="1"/>
    <col min="5886" max="5886" width="11" style="10" customWidth="1"/>
    <col min="5887" max="6129" width="8.88671875" style="10"/>
    <col min="6130" max="6130" width="40" style="10" customWidth="1"/>
    <col min="6131" max="6131" width="12" style="10" customWidth="1"/>
    <col min="6132" max="6134" width="10.44140625" style="10" customWidth="1"/>
    <col min="6135" max="6135" width="11" style="10" customWidth="1"/>
    <col min="6136" max="6136" width="4.6640625" style="10" customWidth="1"/>
    <col min="6137" max="6137" width="32.44140625" style="10" customWidth="1"/>
    <col min="6138" max="6138" width="12" style="10" customWidth="1"/>
    <col min="6139" max="6141" width="13.5546875" style="10" customWidth="1"/>
    <col min="6142" max="6142" width="11" style="10" customWidth="1"/>
    <col min="6143" max="6385" width="8.88671875" style="10"/>
    <col min="6386" max="6386" width="40" style="10" customWidth="1"/>
    <col min="6387" max="6387" width="12" style="10" customWidth="1"/>
    <col min="6388" max="6390" width="10.44140625" style="10" customWidth="1"/>
    <col min="6391" max="6391" width="11" style="10" customWidth="1"/>
    <col min="6392" max="6392" width="4.6640625" style="10" customWidth="1"/>
    <col min="6393" max="6393" width="32.44140625" style="10" customWidth="1"/>
    <col min="6394" max="6394" width="12" style="10" customWidth="1"/>
    <col min="6395" max="6397" width="13.5546875" style="10" customWidth="1"/>
    <col min="6398" max="6398" width="11" style="10" customWidth="1"/>
    <col min="6399" max="6641" width="8.88671875" style="10"/>
    <col min="6642" max="6642" width="40" style="10" customWidth="1"/>
    <col min="6643" max="6643" width="12" style="10" customWidth="1"/>
    <col min="6644" max="6646" width="10.44140625" style="10" customWidth="1"/>
    <col min="6647" max="6647" width="11" style="10" customWidth="1"/>
    <col min="6648" max="6648" width="4.6640625" style="10" customWidth="1"/>
    <col min="6649" max="6649" width="32.44140625" style="10" customWidth="1"/>
    <col min="6650" max="6650" width="12" style="10" customWidth="1"/>
    <col min="6651" max="6653" width="13.5546875" style="10" customWidth="1"/>
    <col min="6654" max="6654" width="11" style="10" customWidth="1"/>
    <col min="6655" max="6897" width="8.88671875" style="10"/>
    <col min="6898" max="6898" width="40" style="10" customWidth="1"/>
    <col min="6899" max="6899" width="12" style="10" customWidth="1"/>
    <col min="6900" max="6902" width="10.44140625" style="10" customWidth="1"/>
    <col min="6903" max="6903" width="11" style="10" customWidth="1"/>
    <col min="6904" max="6904" width="4.6640625" style="10" customWidth="1"/>
    <col min="6905" max="6905" width="32.44140625" style="10" customWidth="1"/>
    <col min="6906" max="6906" width="12" style="10" customWidth="1"/>
    <col min="6907" max="6909" width="13.5546875" style="10" customWidth="1"/>
    <col min="6910" max="6910" width="11" style="10" customWidth="1"/>
    <col min="6911" max="7153" width="8.88671875" style="10"/>
    <col min="7154" max="7154" width="40" style="10" customWidth="1"/>
    <col min="7155" max="7155" width="12" style="10" customWidth="1"/>
    <col min="7156" max="7158" width="10.44140625" style="10" customWidth="1"/>
    <col min="7159" max="7159" width="11" style="10" customWidth="1"/>
    <col min="7160" max="7160" width="4.6640625" style="10" customWidth="1"/>
    <col min="7161" max="7161" width="32.44140625" style="10" customWidth="1"/>
    <col min="7162" max="7162" width="12" style="10" customWidth="1"/>
    <col min="7163" max="7165" width="13.5546875" style="10" customWidth="1"/>
    <col min="7166" max="7166" width="11" style="10" customWidth="1"/>
    <col min="7167" max="7409" width="8.88671875" style="10"/>
    <col min="7410" max="7410" width="40" style="10" customWidth="1"/>
    <col min="7411" max="7411" width="12" style="10" customWidth="1"/>
    <col min="7412" max="7414" width="10.44140625" style="10" customWidth="1"/>
    <col min="7415" max="7415" width="11" style="10" customWidth="1"/>
    <col min="7416" max="7416" width="4.6640625" style="10" customWidth="1"/>
    <col min="7417" max="7417" width="32.44140625" style="10" customWidth="1"/>
    <col min="7418" max="7418" width="12" style="10" customWidth="1"/>
    <col min="7419" max="7421" width="13.5546875" style="10" customWidth="1"/>
    <col min="7422" max="7422" width="11" style="10" customWidth="1"/>
    <col min="7423" max="7665" width="8.88671875" style="10"/>
    <col min="7666" max="7666" width="40" style="10" customWidth="1"/>
    <col min="7667" max="7667" width="12" style="10" customWidth="1"/>
    <col min="7668" max="7670" width="10.44140625" style="10" customWidth="1"/>
    <col min="7671" max="7671" width="11" style="10" customWidth="1"/>
    <col min="7672" max="7672" width="4.6640625" style="10" customWidth="1"/>
    <col min="7673" max="7673" width="32.44140625" style="10" customWidth="1"/>
    <col min="7674" max="7674" width="12" style="10" customWidth="1"/>
    <col min="7675" max="7677" width="13.5546875" style="10" customWidth="1"/>
    <col min="7678" max="7678" width="11" style="10" customWidth="1"/>
    <col min="7679" max="7921" width="8.88671875" style="10"/>
    <col min="7922" max="7922" width="40" style="10" customWidth="1"/>
    <col min="7923" max="7923" width="12" style="10" customWidth="1"/>
    <col min="7924" max="7926" width="10.44140625" style="10" customWidth="1"/>
    <col min="7927" max="7927" width="11" style="10" customWidth="1"/>
    <col min="7928" max="7928" width="4.6640625" style="10" customWidth="1"/>
    <col min="7929" max="7929" width="32.44140625" style="10" customWidth="1"/>
    <col min="7930" max="7930" width="12" style="10" customWidth="1"/>
    <col min="7931" max="7933" width="13.5546875" style="10" customWidth="1"/>
    <col min="7934" max="7934" width="11" style="10" customWidth="1"/>
    <col min="7935" max="8177" width="8.88671875" style="10"/>
    <col min="8178" max="8178" width="40" style="10" customWidth="1"/>
    <col min="8179" max="8179" width="12" style="10" customWidth="1"/>
    <col min="8180" max="8182" width="10.44140625" style="10" customWidth="1"/>
    <col min="8183" max="8183" width="11" style="10" customWidth="1"/>
    <col min="8184" max="8184" width="4.6640625" style="10" customWidth="1"/>
    <col min="8185" max="8185" width="32.44140625" style="10" customWidth="1"/>
    <col min="8186" max="8186" width="12" style="10" customWidth="1"/>
    <col min="8187" max="8189" width="13.5546875" style="10" customWidth="1"/>
    <col min="8190" max="8190" width="11" style="10" customWidth="1"/>
    <col min="8191" max="8433" width="8.88671875" style="10"/>
    <col min="8434" max="8434" width="40" style="10" customWidth="1"/>
    <col min="8435" max="8435" width="12" style="10" customWidth="1"/>
    <col min="8436" max="8438" width="10.44140625" style="10" customWidth="1"/>
    <col min="8439" max="8439" width="11" style="10" customWidth="1"/>
    <col min="8440" max="8440" width="4.6640625" style="10" customWidth="1"/>
    <col min="8441" max="8441" width="32.44140625" style="10" customWidth="1"/>
    <col min="8442" max="8442" width="12" style="10" customWidth="1"/>
    <col min="8443" max="8445" width="13.5546875" style="10" customWidth="1"/>
    <col min="8446" max="8446" width="11" style="10" customWidth="1"/>
    <col min="8447" max="8689" width="8.88671875" style="10"/>
    <col min="8690" max="8690" width="40" style="10" customWidth="1"/>
    <col min="8691" max="8691" width="12" style="10" customWidth="1"/>
    <col min="8692" max="8694" width="10.44140625" style="10" customWidth="1"/>
    <col min="8695" max="8695" width="11" style="10" customWidth="1"/>
    <col min="8696" max="8696" width="4.6640625" style="10" customWidth="1"/>
    <col min="8697" max="8697" width="32.44140625" style="10" customWidth="1"/>
    <col min="8698" max="8698" width="12" style="10" customWidth="1"/>
    <col min="8699" max="8701" width="13.5546875" style="10" customWidth="1"/>
    <col min="8702" max="8702" width="11" style="10" customWidth="1"/>
    <col min="8703" max="8945" width="8.88671875" style="10"/>
    <col min="8946" max="8946" width="40" style="10" customWidth="1"/>
    <col min="8947" max="8947" width="12" style="10" customWidth="1"/>
    <col min="8948" max="8950" width="10.44140625" style="10" customWidth="1"/>
    <col min="8951" max="8951" width="11" style="10" customWidth="1"/>
    <col min="8952" max="8952" width="4.6640625" style="10" customWidth="1"/>
    <col min="8953" max="8953" width="32.44140625" style="10" customWidth="1"/>
    <col min="8954" max="8954" width="12" style="10" customWidth="1"/>
    <col min="8955" max="8957" width="13.5546875" style="10" customWidth="1"/>
    <col min="8958" max="8958" width="11" style="10" customWidth="1"/>
    <col min="8959" max="9201" width="8.88671875" style="10"/>
    <col min="9202" max="9202" width="40" style="10" customWidth="1"/>
    <col min="9203" max="9203" width="12" style="10" customWidth="1"/>
    <col min="9204" max="9206" width="10.44140625" style="10" customWidth="1"/>
    <col min="9207" max="9207" width="11" style="10" customWidth="1"/>
    <col min="9208" max="9208" width="4.6640625" style="10" customWidth="1"/>
    <col min="9209" max="9209" width="32.44140625" style="10" customWidth="1"/>
    <col min="9210" max="9210" width="12" style="10" customWidth="1"/>
    <col min="9211" max="9213" width="13.5546875" style="10" customWidth="1"/>
    <col min="9214" max="9214" width="11" style="10" customWidth="1"/>
    <col min="9215" max="9457" width="8.88671875" style="10"/>
    <col min="9458" max="9458" width="40" style="10" customWidth="1"/>
    <col min="9459" max="9459" width="12" style="10" customWidth="1"/>
    <col min="9460" max="9462" width="10.44140625" style="10" customWidth="1"/>
    <col min="9463" max="9463" width="11" style="10" customWidth="1"/>
    <col min="9464" max="9464" width="4.6640625" style="10" customWidth="1"/>
    <col min="9465" max="9465" width="32.44140625" style="10" customWidth="1"/>
    <col min="9466" max="9466" width="12" style="10" customWidth="1"/>
    <col min="9467" max="9469" width="13.5546875" style="10" customWidth="1"/>
    <col min="9470" max="9470" width="11" style="10" customWidth="1"/>
    <col min="9471" max="9713" width="8.88671875" style="10"/>
    <col min="9714" max="9714" width="40" style="10" customWidth="1"/>
    <col min="9715" max="9715" width="12" style="10" customWidth="1"/>
    <col min="9716" max="9718" width="10.44140625" style="10" customWidth="1"/>
    <col min="9719" max="9719" width="11" style="10" customWidth="1"/>
    <col min="9720" max="9720" width="4.6640625" style="10" customWidth="1"/>
    <col min="9721" max="9721" width="32.44140625" style="10" customWidth="1"/>
    <col min="9722" max="9722" width="12" style="10" customWidth="1"/>
    <col min="9723" max="9725" width="13.5546875" style="10" customWidth="1"/>
    <col min="9726" max="9726" width="11" style="10" customWidth="1"/>
    <col min="9727" max="9969" width="8.88671875" style="10"/>
    <col min="9970" max="9970" width="40" style="10" customWidth="1"/>
    <col min="9971" max="9971" width="12" style="10" customWidth="1"/>
    <col min="9972" max="9974" width="10.44140625" style="10" customWidth="1"/>
    <col min="9975" max="9975" width="11" style="10" customWidth="1"/>
    <col min="9976" max="9976" width="4.6640625" style="10" customWidth="1"/>
    <col min="9977" max="9977" width="32.44140625" style="10" customWidth="1"/>
    <col min="9978" max="9978" width="12" style="10" customWidth="1"/>
    <col min="9979" max="9981" width="13.5546875" style="10" customWidth="1"/>
    <col min="9982" max="9982" width="11" style="10" customWidth="1"/>
    <col min="9983" max="10225" width="8.88671875" style="10"/>
    <col min="10226" max="10226" width="40" style="10" customWidth="1"/>
    <col min="10227" max="10227" width="12" style="10" customWidth="1"/>
    <col min="10228" max="10230" width="10.44140625" style="10" customWidth="1"/>
    <col min="10231" max="10231" width="11" style="10" customWidth="1"/>
    <col min="10232" max="10232" width="4.6640625" style="10" customWidth="1"/>
    <col min="10233" max="10233" width="32.44140625" style="10" customWidth="1"/>
    <col min="10234" max="10234" width="12" style="10" customWidth="1"/>
    <col min="10235" max="10237" width="13.5546875" style="10" customWidth="1"/>
    <col min="10238" max="10238" width="11" style="10" customWidth="1"/>
    <col min="10239" max="10481" width="8.88671875" style="10"/>
    <col min="10482" max="10482" width="40" style="10" customWidth="1"/>
    <col min="10483" max="10483" width="12" style="10" customWidth="1"/>
    <col min="10484" max="10486" width="10.44140625" style="10" customWidth="1"/>
    <col min="10487" max="10487" width="11" style="10" customWidth="1"/>
    <col min="10488" max="10488" width="4.6640625" style="10" customWidth="1"/>
    <col min="10489" max="10489" width="32.44140625" style="10" customWidth="1"/>
    <col min="10490" max="10490" width="12" style="10" customWidth="1"/>
    <col min="10491" max="10493" width="13.5546875" style="10" customWidth="1"/>
    <col min="10494" max="10494" width="11" style="10" customWidth="1"/>
    <col min="10495" max="10737" width="8.88671875" style="10"/>
    <col min="10738" max="10738" width="40" style="10" customWidth="1"/>
    <col min="10739" max="10739" width="12" style="10" customWidth="1"/>
    <col min="10740" max="10742" width="10.44140625" style="10" customWidth="1"/>
    <col min="10743" max="10743" width="11" style="10" customWidth="1"/>
    <col min="10744" max="10744" width="4.6640625" style="10" customWidth="1"/>
    <col min="10745" max="10745" width="32.44140625" style="10" customWidth="1"/>
    <col min="10746" max="10746" width="12" style="10" customWidth="1"/>
    <col min="10747" max="10749" width="13.5546875" style="10" customWidth="1"/>
    <col min="10750" max="10750" width="11" style="10" customWidth="1"/>
    <col min="10751" max="10993" width="8.88671875" style="10"/>
    <col min="10994" max="10994" width="40" style="10" customWidth="1"/>
    <col min="10995" max="10995" width="12" style="10" customWidth="1"/>
    <col min="10996" max="10998" width="10.44140625" style="10" customWidth="1"/>
    <col min="10999" max="10999" width="11" style="10" customWidth="1"/>
    <col min="11000" max="11000" width="4.6640625" style="10" customWidth="1"/>
    <col min="11001" max="11001" width="32.44140625" style="10" customWidth="1"/>
    <col min="11002" max="11002" width="12" style="10" customWidth="1"/>
    <col min="11003" max="11005" width="13.5546875" style="10" customWidth="1"/>
    <col min="11006" max="11006" width="11" style="10" customWidth="1"/>
    <col min="11007" max="11249" width="8.88671875" style="10"/>
    <col min="11250" max="11250" width="40" style="10" customWidth="1"/>
    <col min="11251" max="11251" width="12" style="10" customWidth="1"/>
    <col min="11252" max="11254" width="10.44140625" style="10" customWidth="1"/>
    <col min="11255" max="11255" width="11" style="10" customWidth="1"/>
    <col min="11256" max="11256" width="4.6640625" style="10" customWidth="1"/>
    <col min="11257" max="11257" width="32.44140625" style="10" customWidth="1"/>
    <col min="11258" max="11258" width="12" style="10" customWidth="1"/>
    <col min="11259" max="11261" width="13.5546875" style="10" customWidth="1"/>
    <col min="11262" max="11262" width="11" style="10" customWidth="1"/>
    <col min="11263" max="11505" width="8.88671875" style="10"/>
    <col min="11506" max="11506" width="40" style="10" customWidth="1"/>
    <col min="11507" max="11507" width="12" style="10" customWidth="1"/>
    <col min="11508" max="11510" width="10.44140625" style="10" customWidth="1"/>
    <col min="11511" max="11511" width="11" style="10" customWidth="1"/>
    <col min="11512" max="11512" width="4.6640625" style="10" customWidth="1"/>
    <col min="11513" max="11513" width="32.44140625" style="10" customWidth="1"/>
    <col min="11514" max="11514" width="12" style="10" customWidth="1"/>
    <col min="11515" max="11517" width="13.5546875" style="10" customWidth="1"/>
    <col min="11518" max="11518" width="11" style="10" customWidth="1"/>
    <col min="11519" max="11761" width="8.88671875" style="10"/>
    <col min="11762" max="11762" width="40" style="10" customWidth="1"/>
    <col min="11763" max="11763" width="12" style="10" customWidth="1"/>
    <col min="11764" max="11766" width="10.44140625" style="10" customWidth="1"/>
    <col min="11767" max="11767" width="11" style="10" customWidth="1"/>
    <col min="11768" max="11768" width="4.6640625" style="10" customWidth="1"/>
    <col min="11769" max="11769" width="32.44140625" style="10" customWidth="1"/>
    <col min="11770" max="11770" width="12" style="10" customWidth="1"/>
    <col min="11771" max="11773" width="13.5546875" style="10" customWidth="1"/>
    <col min="11774" max="11774" width="11" style="10" customWidth="1"/>
    <col min="11775" max="12017" width="8.88671875" style="10"/>
    <col min="12018" max="12018" width="40" style="10" customWidth="1"/>
    <col min="12019" max="12019" width="12" style="10" customWidth="1"/>
    <col min="12020" max="12022" width="10.44140625" style="10" customWidth="1"/>
    <col min="12023" max="12023" width="11" style="10" customWidth="1"/>
    <col min="12024" max="12024" width="4.6640625" style="10" customWidth="1"/>
    <col min="12025" max="12025" width="32.44140625" style="10" customWidth="1"/>
    <col min="12026" max="12026" width="12" style="10" customWidth="1"/>
    <col min="12027" max="12029" width="13.5546875" style="10" customWidth="1"/>
    <col min="12030" max="12030" width="11" style="10" customWidth="1"/>
    <col min="12031" max="12273" width="8.88671875" style="10"/>
    <col min="12274" max="12274" width="40" style="10" customWidth="1"/>
    <col min="12275" max="12275" width="12" style="10" customWidth="1"/>
    <col min="12276" max="12278" width="10.44140625" style="10" customWidth="1"/>
    <col min="12279" max="12279" width="11" style="10" customWidth="1"/>
    <col min="12280" max="12280" width="4.6640625" style="10" customWidth="1"/>
    <col min="12281" max="12281" width="32.44140625" style="10" customWidth="1"/>
    <col min="12282" max="12282" width="12" style="10" customWidth="1"/>
    <col min="12283" max="12285" width="13.5546875" style="10" customWidth="1"/>
    <col min="12286" max="12286" width="11" style="10" customWidth="1"/>
    <col min="12287" max="12529" width="8.88671875" style="10"/>
    <col min="12530" max="12530" width="40" style="10" customWidth="1"/>
    <col min="12531" max="12531" width="12" style="10" customWidth="1"/>
    <col min="12532" max="12534" width="10.44140625" style="10" customWidth="1"/>
    <col min="12535" max="12535" width="11" style="10" customWidth="1"/>
    <col min="12536" max="12536" width="4.6640625" style="10" customWidth="1"/>
    <col min="12537" max="12537" width="32.44140625" style="10" customWidth="1"/>
    <col min="12538" max="12538" width="12" style="10" customWidth="1"/>
    <col min="12539" max="12541" width="13.5546875" style="10" customWidth="1"/>
    <col min="12542" max="12542" width="11" style="10" customWidth="1"/>
    <col min="12543" max="12785" width="8.88671875" style="10"/>
    <col min="12786" max="12786" width="40" style="10" customWidth="1"/>
    <col min="12787" max="12787" width="12" style="10" customWidth="1"/>
    <col min="12788" max="12790" width="10.44140625" style="10" customWidth="1"/>
    <col min="12791" max="12791" width="11" style="10" customWidth="1"/>
    <col min="12792" max="12792" width="4.6640625" style="10" customWidth="1"/>
    <col min="12793" max="12793" width="32.44140625" style="10" customWidth="1"/>
    <col min="12794" max="12794" width="12" style="10" customWidth="1"/>
    <col min="12795" max="12797" width="13.5546875" style="10" customWidth="1"/>
    <col min="12798" max="12798" width="11" style="10" customWidth="1"/>
    <col min="12799" max="13041" width="8.88671875" style="10"/>
    <col min="13042" max="13042" width="40" style="10" customWidth="1"/>
    <col min="13043" max="13043" width="12" style="10" customWidth="1"/>
    <col min="13044" max="13046" width="10.44140625" style="10" customWidth="1"/>
    <col min="13047" max="13047" width="11" style="10" customWidth="1"/>
    <col min="13048" max="13048" width="4.6640625" style="10" customWidth="1"/>
    <col min="13049" max="13049" width="32.44140625" style="10" customWidth="1"/>
    <col min="13050" max="13050" width="12" style="10" customWidth="1"/>
    <col min="13051" max="13053" width="13.5546875" style="10" customWidth="1"/>
    <col min="13054" max="13054" width="11" style="10" customWidth="1"/>
    <col min="13055" max="13297" width="8.88671875" style="10"/>
    <col min="13298" max="13298" width="40" style="10" customWidth="1"/>
    <col min="13299" max="13299" width="12" style="10" customWidth="1"/>
    <col min="13300" max="13302" width="10.44140625" style="10" customWidth="1"/>
    <col min="13303" max="13303" width="11" style="10" customWidth="1"/>
    <col min="13304" max="13304" width="4.6640625" style="10" customWidth="1"/>
    <col min="13305" max="13305" width="32.44140625" style="10" customWidth="1"/>
    <col min="13306" max="13306" width="12" style="10" customWidth="1"/>
    <col min="13307" max="13309" width="13.5546875" style="10" customWidth="1"/>
    <col min="13310" max="13310" width="11" style="10" customWidth="1"/>
    <col min="13311" max="13553" width="8.88671875" style="10"/>
    <col min="13554" max="13554" width="40" style="10" customWidth="1"/>
    <col min="13555" max="13555" width="12" style="10" customWidth="1"/>
    <col min="13556" max="13558" width="10.44140625" style="10" customWidth="1"/>
    <col min="13559" max="13559" width="11" style="10" customWidth="1"/>
    <col min="13560" max="13560" width="4.6640625" style="10" customWidth="1"/>
    <col min="13561" max="13561" width="32.44140625" style="10" customWidth="1"/>
    <col min="13562" max="13562" width="12" style="10" customWidth="1"/>
    <col min="13563" max="13565" width="13.5546875" style="10" customWidth="1"/>
    <col min="13566" max="13566" width="11" style="10" customWidth="1"/>
    <col min="13567" max="13809" width="8.88671875" style="10"/>
    <col min="13810" max="13810" width="40" style="10" customWidth="1"/>
    <col min="13811" max="13811" width="12" style="10" customWidth="1"/>
    <col min="13812" max="13814" width="10.44140625" style="10" customWidth="1"/>
    <col min="13815" max="13815" width="11" style="10" customWidth="1"/>
    <col min="13816" max="13816" width="4.6640625" style="10" customWidth="1"/>
    <col min="13817" max="13817" width="32.44140625" style="10" customWidth="1"/>
    <col min="13818" max="13818" width="12" style="10" customWidth="1"/>
    <col min="13819" max="13821" width="13.5546875" style="10" customWidth="1"/>
    <col min="13822" max="13822" width="11" style="10" customWidth="1"/>
    <col min="13823" max="14065" width="8.88671875" style="10"/>
    <col min="14066" max="14066" width="40" style="10" customWidth="1"/>
    <col min="14067" max="14067" width="12" style="10" customWidth="1"/>
    <col min="14068" max="14070" width="10.44140625" style="10" customWidth="1"/>
    <col min="14071" max="14071" width="11" style="10" customWidth="1"/>
    <col min="14072" max="14072" width="4.6640625" style="10" customWidth="1"/>
    <col min="14073" max="14073" width="32.44140625" style="10" customWidth="1"/>
    <col min="14074" max="14074" width="12" style="10" customWidth="1"/>
    <col min="14075" max="14077" width="13.5546875" style="10" customWidth="1"/>
    <col min="14078" max="14078" width="11" style="10" customWidth="1"/>
    <col min="14079" max="14321" width="8.88671875" style="10"/>
    <col min="14322" max="14322" width="40" style="10" customWidth="1"/>
    <col min="14323" max="14323" width="12" style="10" customWidth="1"/>
    <col min="14324" max="14326" width="10.44140625" style="10" customWidth="1"/>
    <col min="14327" max="14327" width="11" style="10" customWidth="1"/>
    <col min="14328" max="14328" width="4.6640625" style="10" customWidth="1"/>
    <col min="14329" max="14329" width="32.44140625" style="10" customWidth="1"/>
    <col min="14330" max="14330" width="12" style="10" customWidth="1"/>
    <col min="14331" max="14333" width="13.5546875" style="10" customWidth="1"/>
    <col min="14334" max="14334" width="11" style="10" customWidth="1"/>
    <col min="14335" max="14577" width="8.88671875" style="10"/>
    <col min="14578" max="14578" width="40" style="10" customWidth="1"/>
    <col min="14579" max="14579" width="12" style="10" customWidth="1"/>
    <col min="14580" max="14582" width="10.44140625" style="10" customWidth="1"/>
    <col min="14583" max="14583" width="11" style="10" customWidth="1"/>
    <col min="14584" max="14584" width="4.6640625" style="10" customWidth="1"/>
    <col min="14585" max="14585" width="32.44140625" style="10" customWidth="1"/>
    <col min="14586" max="14586" width="12" style="10" customWidth="1"/>
    <col min="14587" max="14589" width="13.5546875" style="10" customWidth="1"/>
    <col min="14590" max="14590" width="11" style="10" customWidth="1"/>
    <col min="14591" max="14833" width="8.88671875" style="10"/>
    <col min="14834" max="14834" width="40" style="10" customWidth="1"/>
    <col min="14835" max="14835" width="12" style="10" customWidth="1"/>
    <col min="14836" max="14838" width="10.44140625" style="10" customWidth="1"/>
    <col min="14839" max="14839" width="11" style="10" customWidth="1"/>
    <col min="14840" max="14840" width="4.6640625" style="10" customWidth="1"/>
    <col min="14841" max="14841" width="32.44140625" style="10" customWidth="1"/>
    <col min="14842" max="14842" width="12" style="10" customWidth="1"/>
    <col min="14843" max="14845" width="13.5546875" style="10" customWidth="1"/>
    <col min="14846" max="14846" width="11" style="10" customWidth="1"/>
    <col min="14847" max="15089" width="8.88671875" style="10"/>
    <col min="15090" max="15090" width="40" style="10" customWidth="1"/>
    <col min="15091" max="15091" width="12" style="10" customWidth="1"/>
    <col min="15092" max="15094" width="10.44140625" style="10" customWidth="1"/>
    <col min="15095" max="15095" width="11" style="10" customWidth="1"/>
    <col min="15096" max="15096" width="4.6640625" style="10" customWidth="1"/>
    <col min="15097" max="15097" width="32.44140625" style="10" customWidth="1"/>
    <col min="15098" max="15098" width="12" style="10" customWidth="1"/>
    <col min="15099" max="15101" width="13.5546875" style="10" customWidth="1"/>
    <col min="15102" max="15102" width="11" style="10" customWidth="1"/>
    <col min="15103" max="15345" width="8.88671875" style="10"/>
    <col min="15346" max="15346" width="40" style="10" customWidth="1"/>
    <col min="15347" max="15347" width="12" style="10" customWidth="1"/>
    <col min="15348" max="15350" width="10.44140625" style="10" customWidth="1"/>
    <col min="15351" max="15351" width="11" style="10" customWidth="1"/>
    <col min="15352" max="15352" width="4.6640625" style="10" customWidth="1"/>
    <col min="15353" max="15353" width="32.44140625" style="10" customWidth="1"/>
    <col min="15354" max="15354" width="12" style="10" customWidth="1"/>
    <col min="15355" max="15357" width="13.5546875" style="10" customWidth="1"/>
    <col min="15358" max="15358" width="11" style="10" customWidth="1"/>
    <col min="15359" max="15601" width="8.88671875" style="10"/>
    <col min="15602" max="15602" width="40" style="10" customWidth="1"/>
    <col min="15603" max="15603" width="12" style="10" customWidth="1"/>
    <col min="15604" max="15606" width="10.44140625" style="10" customWidth="1"/>
    <col min="15607" max="15607" width="11" style="10" customWidth="1"/>
    <col min="15608" max="15608" width="4.6640625" style="10" customWidth="1"/>
    <col min="15609" max="15609" width="32.44140625" style="10" customWidth="1"/>
    <col min="15610" max="15610" width="12" style="10" customWidth="1"/>
    <col min="15611" max="15613" width="13.5546875" style="10" customWidth="1"/>
    <col min="15614" max="15614" width="11" style="10" customWidth="1"/>
    <col min="15615" max="15857" width="8.88671875" style="10"/>
    <col min="15858" max="15858" width="40" style="10" customWidth="1"/>
    <col min="15859" max="15859" width="12" style="10" customWidth="1"/>
    <col min="15860" max="15862" width="10.44140625" style="10" customWidth="1"/>
    <col min="15863" max="15863" width="11" style="10" customWidth="1"/>
    <col min="15864" max="15864" width="4.6640625" style="10" customWidth="1"/>
    <col min="15865" max="15865" width="32.44140625" style="10" customWidth="1"/>
    <col min="15866" max="15866" width="12" style="10" customWidth="1"/>
    <col min="15867" max="15869" width="13.5546875" style="10" customWidth="1"/>
    <col min="15870" max="15870" width="11" style="10" customWidth="1"/>
    <col min="15871" max="16113" width="8.88671875" style="10"/>
    <col min="16114" max="16114" width="40" style="10" customWidth="1"/>
    <col min="16115" max="16115" width="12" style="10" customWidth="1"/>
    <col min="16116" max="16118" width="10.44140625" style="10" customWidth="1"/>
    <col min="16119" max="16119" width="11" style="10" customWidth="1"/>
    <col min="16120" max="16120" width="4.6640625" style="10" customWidth="1"/>
    <col min="16121" max="16121" width="32.44140625" style="10" customWidth="1"/>
    <col min="16122" max="16122" width="12" style="10" customWidth="1"/>
    <col min="16123" max="16125" width="13.5546875" style="10" customWidth="1"/>
    <col min="16126" max="16126" width="11" style="10" customWidth="1"/>
    <col min="16127" max="16381" width="8.88671875" style="10"/>
    <col min="16382" max="16384" width="8.88671875" style="10" customWidth="1"/>
  </cols>
  <sheetData>
    <row r="1" spans="1:11" ht="15.6" customHeight="1" x14ac:dyDescent="0.25">
      <c r="A1" s="8"/>
      <c r="B1" s="8"/>
      <c r="C1" s="8"/>
      <c r="D1" s="8"/>
      <c r="E1" s="8"/>
      <c r="F1" s="8"/>
      <c r="G1" s="8"/>
      <c r="H1" s="8"/>
      <c r="I1" s="8"/>
      <c r="J1" s="105"/>
      <c r="K1" s="8" t="s">
        <v>1027</v>
      </c>
    </row>
    <row r="2" spans="1:11" ht="15.6" customHeight="1" x14ac:dyDescent="0.25">
      <c r="A2" s="8"/>
      <c r="B2" s="8"/>
      <c r="C2" s="8"/>
      <c r="D2" s="8"/>
      <c r="E2" s="8"/>
      <c r="F2" s="8"/>
      <c r="G2" s="8"/>
      <c r="H2" s="8"/>
      <c r="I2" s="8"/>
      <c r="J2" s="105"/>
      <c r="K2" s="325" t="s">
        <v>1053</v>
      </c>
    </row>
    <row r="3" spans="1:11" ht="12.75" customHeight="1" x14ac:dyDescent="0.25">
      <c r="A3" s="377" t="s">
        <v>101</v>
      </c>
      <c r="B3" s="377"/>
      <c r="C3" s="377"/>
      <c r="D3" s="377"/>
      <c r="E3" s="377"/>
      <c r="F3" s="377"/>
      <c r="G3" s="377"/>
      <c r="H3" s="377"/>
      <c r="I3" s="377"/>
      <c r="J3" s="377"/>
    </row>
    <row r="4" spans="1:11" x14ac:dyDescent="0.25">
      <c r="A4" s="378" t="s">
        <v>729</v>
      </c>
      <c r="B4" s="378"/>
      <c r="C4" s="378"/>
      <c r="D4" s="378"/>
      <c r="E4" s="378"/>
      <c r="F4" s="378"/>
      <c r="G4" s="378"/>
      <c r="H4" s="378"/>
      <c r="I4" s="378"/>
      <c r="J4" s="378"/>
    </row>
    <row r="5" spans="1:11" x14ac:dyDescent="0.25">
      <c r="A5" s="106"/>
      <c r="B5" s="598"/>
      <c r="C5" s="598"/>
      <c r="D5" s="598"/>
      <c r="E5" s="598"/>
      <c r="F5" s="598"/>
      <c r="G5" s="106"/>
      <c r="H5" s="599"/>
    </row>
    <row r="6" spans="1:11" x14ac:dyDescent="0.25">
      <c r="A6" s="123" t="s">
        <v>102</v>
      </c>
      <c r="B6" s="600"/>
      <c r="C6" s="600"/>
      <c r="D6" s="600"/>
      <c r="E6" s="600"/>
      <c r="F6" s="601"/>
      <c r="G6" s="123" t="s">
        <v>103</v>
      </c>
      <c r="H6" s="602"/>
      <c r="I6" s="603"/>
      <c r="J6" s="603"/>
      <c r="K6" s="603"/>
    </row>
    <row r="7" spans="1:11" x14ac:dyDescent="0.25">
      <c r="A7" s="126"/>
      <c r="B7" s="604" t="s">
        <v>727</v>
      </c>
      <c r="C7" s="604" t="s">
        <v>719</v>
      </c>
      <c r="D7" s="604" t="s">
        <v>728</v>
      </c>
      <c r="E7" s="604" t="s">
        <v>1078</v>
      </c>
      <c r="F7" s="605"/>
      <c r="G7" s="126"/>
      <c r="H7" s="604" t="s">
        <v>727</v>
      </c>
      <c r="I7" s="604" t="s">
        <v>719</v>
      </c>
      <c r="J7" s="604" t="s">
        <v>728</v>
      </c>
      <c r="K7" s="604" t="s">
        <v>1078</v>
      </c>
    </row>
    <row r="8" spans="1:11" x14ac:dyDescent="0.25">
      <c r="A8" s="123"/>
      <c r="B8" s="606" t="s">
        <v>25</v>
      </c>
      <c r="C8" s="606" t="s">
        <v>25</v>
      </c>
      <c r="D8" s="606" t="s">
        <v>25</v>
      </c>
      <c r="E8" s="606" t="s">
        <v>25</v>
      </c>
      <c r="F8" s="607"/>
      <c r="G8" s="608"/>
      <c r="H8" s="606" t="s">
        <v>25</v>
      </c>
      <c r="I8" s="606" t="s">
        <v>25</v>
      </c>
      <c r="J8" s="606" t="s">
        <v>25</v>
      </c>
      <c r="K8" s="606" t="s">
        <v>25</v>
      </c>
    </row>
    <row r="9" spans="1:11" x14ac:dyDescent="0.25">
      <c r="A9" s="124" t="s">
        <v>104</v>
      </c>
      <c r="B9" s="609">
        <v>224725</v>
      </c>
      <c r="C9" s="609">
        <v>521714</v>
      </c>
      <c r="D9" s="609">
        <v>603511</v>
      </c>
      <c r="E9" s="609">
        <f>'1. melléklet'!L10+'1. melléklet'!L17+'1. melléklet'!L24+'1. melléklet'!L32+'1. melléklet'!L47+'1. melléklet'!L65</f>
        <v>411195</v>
      </c>
      <c r="F9" s="609"/>
      <c r="G9" s="124" t="s">
        <v>22</v>
      </c>
      <c r="H9" s="610">
        <v>811334</v>
      </c>
      <c r="I9" s="610">
        <v>873759</v>
      </c>
      <c r="J9" s="610">
        <v>1045486</v>
      </c>
      <c r="K9" s="610">
        <f>'[1]2. melléklet'!L10+'[1]2. melléklet'!L29+'[1]2. melléklet'!L43+'[1]2. melléklet'!L52+'[1]2. melléklet'!L66+'[1]2. melléklet'!L87</f>
        <v>1058672</v>
      </c>
    </row>
    <row r="10" spans="1:11" x14ac:dyDescent="0.25">
      <c r="A10" s="124" t="s">
        <v>59</v>
      </c>
      <c r="B10" s="609">
        <v>798856</v>
      </c>
      <c r="C10" s="609">
        <v>766622</v>
      </c>
      <c r="D10" s="609">
        <v>809000</v>
      </c>
      <c r="E10" s="609">
        <f>'1. melléklet'!L80</f>
        <v>809000</v>
      </c>
      <c r="F10" s="609"/>
      <c r="G10" s="124" t="s">
        <v>105</v>
      </c>
      <c r="H10" s="610">
        <v>141743</v>
      </c>
      <c r="I10" s="610">
        <v>138471</v>
      </c>
      <c r="J10" s="610">
        <v>139963</v>
      </c>
      <c r="K10" s="610">
        <f>'[1]2. melléklet'!L11+'[1]2. melléklet'!L30+'[1]2. melléklet'!L44+'[1]2. melléklet'!L53+'[1]2. melléklet'!L67+'[1]2. melléklet'!L97</f>
        <v>142545</v>
      </c>
    </row>
    <row r="11" spans="1:11" x14ac:dyDescent="0.25">
      <c r="A11" s="124" t="s">
        <v>106</v>
      </c>
      <c r="B11" s="609">
        <v>1390285</v>
      </c>
      <c r="C11" s="609">
        <v>1629102</v>
      </c>
      <c r="D11" s="609">
        <v>1759355</v>
      </c>
      <c r="E11" s="609">
        <f>'1. melléklet'!L91+'1. melléklet'!L96</f>
        <v>1796420</v>
      </c>
      <c r="F11" s="609"/>
      <c r="G11" s="124" t="s">
        <v>27</v>
      </c>
      <c r="H11" s="610">
        <v>832235</v>
      </c>
      <c r="I11" s="610">
        <v>1493800</v>
      </c>
      <c r="J11" s="610">
        <v>1705827</v>
      </c>
      <c r="K11" s="610">
        <f>'[1]2. melléklet'!L12+'[1]2. melléklet'!L31+'[1]2. melléklet'!L45+'[1]2. melléklet'!L54+'[1]2. melléklet'!L68+'[1]2. melléklet'!L167</f>
        <v>1571463</v>
      </c>
    </row>
    <row r="12" spans="1:11" ht="24" x14ac:dyDescent="0.25">
      <c r="A12" s="124" t="s">
        <v>560</v>
      </c>
      <c r="B12" s="609">
        <v>148798</v>
      </c>
      <c r="C12" s="609">
        <v>178701</v>
      </c>
      <c r="D12" s="609">
        <v>148971</v>
      </c>
      <c r="E12" s="609">
        <f>'1. melléklet'!L12+'1. melléklet'!L13+'1. melléklet'!L19+'1. melléklet'!L20+'1. melléklet'!L27+'1. melléklet'!L28+'1. melléklet'!L34+'1. melléklet'!L35+'1. melléklet'!L36+'1. melléklet'!L37+'1. melléklet'!L38+'1. melléklet'!L49+'1. melléklet'!L50+'1. melléklet'!L140</f>
        <v>192814</v>
      </c>
      <c r="F12" s="609"/>
      <c r="G12" s="611" t="s">
        <v>141</v>
      </c>
      <c r="H12" s="610">
        <v>670320</v>
      </c>
      <c r="I12" s="610">
        <v>579723</v>
      </c>
      <c r="J12" s="610">
        <v>484874</v>
      </c>
      <c r="K12" s="610">
        <f>'[1]2. melléklet'!L194+'[1]2. melléklet'!L211+'[1]2. melléklet'!L220+'[1]2. melléklet'!L15</f>
        <v>529925</v>
      </c>
    </row>
    <row r="13" spans="1:11" x14ac:dyDescent="0.25">
      <c r="A13" s="124" t="s">
        <v>862</v>
      </c>
      <c r="B13" s="609">
        <v>10900</v>
      </c>
      <c r="C13" s="609">
        <v>3118</v>
      </c>
      <c r="D13" s="609">
        <v>4760</v>
      </c>
      <c r="E13" s="609">
        <f>'1. melléklet'!L164</f>
        <v>4760</v>
      </c>
      <c r="F13" s="609"/>
      <c r="G13" s="124" t="s">
        <v>48</v>
      </c>
      <c r="H13" s="610">
        <v>23276</v>
      </c>
      <c r="I13" s="610">
        <v>19263</v>
      </c>
      <c r="J13" s="610">
        <v>20000</v>
      </c>
      <c r="K13" s="610">
        <f>'[1]2. melléklet'!L181</f>
        <v>20000</v>
      </c>
    </row>
    <row r="14" spans="1:11" x14ac:dyDescent="0.25">
      <c r="A14" s="124" t="s">
        <v>107</v>
      </c>
      <c r="B14" s="609">
        <v>5916</v>
      </c>
      <c r="C14" s="609">
        <v>28596</v>
      </c>
      <c r="D14" s="609">
        <v>14000</v>
      </c>
      <c r="E14" s="609">
        <f>'1. melléklet'!L183</f>
        <v>23000</v>
      </c>
      <c r="F14" s="609"/>
      <c r="G14" s="124" t="s">
        <v>108</v>
      </c>
      <c r="H14" s="610">
        <v>776620</v>
      </c>
      <c r="I14" s="610">
        <v>0</v>
      </c>
      <c r="J14" s="610">
        <v>0</v>
      </c>
      <c r="K14" s="610">
        <f>'[1]2. melléklet'!L311</f>
        <v>8302</v>
      </c>
    </row>
    <row r="15" spans="1:11" x14ac:dyDescent="0.25">
      <c r="A15" s="124" t="s">
        <v>109</v>
      </c>
      <c r="B15" s="609">
        <v>93814</v>
      </c>
      <c r="C15" s="609">
        <v>176798</v>
      </c>
      <c r="D15" s="609">
        <v>313916</v>
      </c>
      <c r="E15" s="609">
        <f>'1. melléklet'!L201</f>
        <v>313998</v>
      </c>
      <c r="F15" s="609"/>
      <c r="G15" s="124" t="s">
        <v>111</v>
      </c>
      <c r="H15" s="610">
        <v>0</v>
      </c>
      <c r="I15" s="610">
        <v>0</v>
      </c>
      <c r="J15" s="610">
        <v>0</v>
      </c>
      <c r="K15" s="610">
        <f>'[1]2. melléklet'!L223</f>
        <v>9000</v>
      </c>
    </row>
    <row r="16" spans="1:11" x14ac:dyDescent="0.25">
      <c r="A16" s="124" t="s">
        <v>110</v>
      </c>
      <c r="B16" s="609">
        <v>776620</v>
      </c>
      <c r="C16" s="609">
        <v>0</v>
      </c>
      <c r="D16" s="609">
        <v>0</v>
      </c>
      <c r="E16" s="609">
        <f>'1. melléklet'!L216</f>
        <v>8302</v>
      </c>
      <c r="F16" s="609"/>
      <c r="G16" s="124" t="s">
        <v>113</v>
      </c>
      <c r="H16" s="610">
        <v>0</v>
      </c>
      <c r="I16" s="610">
        <v>15334</v>
      </c>
      <c r="J16" s="610">
        <v>5000</v>
      </c>
      <c r="K16" s="610">
        <f>'[1]2. melléklet'!L217</f>
        <v>5000</v>
      </c>
    </row>
    <row r="17" spans="1:11" ht="24" x14ac:dyDescent="0.25">
      <c r="A17" s="124" t="s">
        <v>112</v>
      </c>
      <c r="B17" s="609">
        <v>59337</v>
      </c>
      <c r="C17" s="609">
        <v>60520</v>
      </c>
      <c r="D17" s="609">
        <v>0</v>
      </c>
      <c r="E17" s="609">
        <f>'1. melléklet'!L219</f>
        <v>1873</v>
      </c>
      <c r="F17" s="609"/>
      <c r="G17" s="612" t="s">
        <v>125</v>
      </c>
      <c r="H17" s="610">
        <v>44631</v>
      </c>
      <c r="I17" s="610">
        <v>61489</v>
      </c>
      <c r="J17" s="610">
        <v>55442</v>
      </c>
      <c r="K17" s="610">
        <f>'[1]2. melléklet'!L314</f>
        <v>57315</v>
      </c>
    </row>
    <row r="18" spans="1:11" x14ac:dyDescent="0.25">
      <c r="A18" s="125"/>
      <c r="B18" s="609"/>
      <c r="C18" s="609"/>
      <c r="D18" s="609"/>
      <c r="E18" s="609"/>
      <c r="F18" s="609"/>
      <c r="G18" s="603"/>
      <c r="H18" s="603"/>
      <c r="I18" s="610"/>
      <c r="J18" s="610"/>
      <c r="K18" s="610"/>
    </row>
    <row r="19" spans="1:11" x14ac:dyDescent="0.25">
      <c r="A19" s="123" t="s">
        <v>114</v>
      </c>
      <c r="B19" s="613">
        <f>SUM(B9:B18)</f>
        <v>3509251</v>
      </c>
      <c r="C19" s="613">
        <f>SUM(C9:C18)</f>
        <v>3365171</v>
      </c>
      <c r="D19" s="613">
        <v>3653513</v>
      </c>
      <c r="E19" s="613">
        <f>SUM(E9:E18)</f>
        <v>3561362</v>
      </c>
      <c r="F19" s="614"/>
      <c r="G19" s="123" t="s">
        <v>115</v>
      </c>
      <c r="H19" s="615">
        <f>SUM(H9:H18)</f>
        <v>3300159</v>
      </c>
      <c r="I19" s="615">
        <f>SUM(I9:I18)</f>
        <v>3181839</v>
      </c>
      <c r="J19" s="615">
        <v>3456592</v>
      </c>
      <c r="K19" s="615">
        <f>SUM(K9:K18)</f>
        <v>3402222</v>
      </c>
    </row>
    <row r="20" spans="1:11" x14ac:dyDescent="0.25">
      <c r="A20" s="125"/>
      <c r="B20" s="613"/>
      <c r="C20" s="613"/>
      <c r="D20" s="613"/>
      <c r="E20" s="613"/>
      <c r="F20" s="613"/>
      <c r="G20" s="124"/>
      <c r="H20" s="610"/>
      <c r="I20" s="610"/>
      <c r="J20" s="610"/>
      <c r="K20" s="610"/>
    </row>
    <row r="21" spans="1:11" x14ac:dyDescent="0.25">
      <c r="A21" s="124" t="s">
        <v>66</v>
      </c>
      <c r="B21" s="610">
        <v>268971</v>
      </c>
      <c r="C21" s="610">
        <v>348578</v>
      </c>
      <c r="D21" s="610">
        <v>259278</v>
      </c>
      <c r="E21" s="610">
        <f>'1. melléklet'!L118</f>
        <v>316022</v>
      </c>
      <c r="F21" s="602"/>
      <c r="G21" s="124" t="s">
        <v>50</v>
      </c>
      <c r="H21" s="610">
        <v>102965</v>
      </c>
      <c r="I21" s="610">
        <v>832151</v>
      </c>
      <c r="J21" s="610">
        <v>1312342</v>
      </c>
      <c r="K21" s="610">
        <f>'[1]2. melléklet'!L21+'[1]2. melléklet'!L35+'[1]2. melléklet'!L48+'[1]2. melléklet'!L57+'[1]2. melléklet'!L74+'[1]2. melléklet'!L253</f>
        <v>1335451</v>
      </c>
    </row>
    <row r="22" spans="1:11" x14ac:dyDescent="0.25">
      <c r="A22" s="124" t="s">
        <v>144</v>
      </c>
      <c r="B22" s="609">
        <v>43631</v>
      </c>
      <c r="C22" s="609">
        <v>146898</v>
      </c>
      <c r="D22" s="609">
        <v>0</v>
      </c>
      <c r="E22" s="609">
        <f>'1. melléklet'!L101</f>
        <v>40000</v>
      </c>
      <c r="F22" s="609"/>
      <c r="G22" s="124" t="s">
        <v>20</v>
      </c>
      <c r="H22" s="610">
        <v>188183</v>
      </c>
      <c r="I22" s="610">
        <v>1107074</v>
      </c>
      <c r="J22" s="610">
        <v>1227653</v>
      </c>
      <c r="K22" s="610">
        <f>'[1]2. melléklet'!L25+'[1]2. melléklet'!L38+'[1]2. melléklet'!L60+'[1]2. melléklet'!L275</f>
        <v>1351147</v>
      </c>
    </row>
    <row r="23" spans="1:11" x14ac:dyDescent="0.25">
      <c r="A23" s="124" t="s">
        <v>116</v>
      </c>
      <c r="B23" s="616">
        <v>335326</v>
      </c>
      <c r="C23" s="616">
        <v>1858384</v>
      </c>
      <c r="D23" s="616">
        <v>632338</v>
      </c>
      <c r="E23" s="616">
        <f>'1. melléklet'!L155</f>
        <v>650578</v>
      </c>
      <c r="F23" s="616"/>
      <c r="G23" s="124" t="s">
        <v>127</v>
      </c>
      <c r="H23" s="610">
        <v>47057</v>
      </c>
      <c r="I23" s="610">
        <v>44310</v>
      </c>
      <c r="J23" s="610">
        <v>26389</v>
      </c>
      <c r="K23" s="610">
        <f>'[1]2. melléklet'!L310</f>
        <v>26389</v>
      </c>
    </row>
    <row r="24" spans="1:11" ht="24" x14ac:dyDescent="0.25">
      <c r="A24" s="124" t="s">
        <v>861</v>
      </c>
      <c r="B24" s="609">
        <v>6500</v>
      </c>
      <c r="C24" s="609">
        <v>398</v>
      </c>
      <c r="D24" s="609">
        <v>400</v>
      </c>
      <c r="E24" s="609">
        <f>'1. melléklet'!L169</f>
        <v>400</v>
      </c>
      <c r="F24" s="609"/>
      <c r="G24" s="611" t="s">
        <v>140</v>
      </c>
      <c r="H24" s="610">
        <v>22992</v>
      </c>
      <c r="I24" s="610">
        <v>26535</v>
      </c>
      <c r="J24" s="610">
        <v>26000</v>
      </c>
      <c r="K24" s="610">
        <f>'[1]2. melléklet'!L282+'[1]2. melléklet'!L290</f>
        <v>18499</v>
      </c>
    </row>
    <row r="25" spans="1:11" x14ac:dyDescent="0.25">
      <c r="A25" s="124" t="s">
        <v>117</v>
      </c>
      <c r="B25" s="609">
        <v>792</v>
      </c>
      <c r="C25" s="609">
        <v>700</v>
      </c>
      <c r="D25" s="609">
        <v>300</v>
      </c>
      <c r="E25" s="609">
        <f>'1. melléklet'!L177</f>
        <v>300</v>
      </c>
      <c r="F25" s="609"/>
      <c r="G25" s="124" t="s">
        <v>139</v>
      </c>
      <c r="H25" s="610">
        <v>0</v>
      </c>
      <c r="I25" s="610">
        <v>1340003</v>
      </c>
      <c r="J25" s="610">
        <v>689136</v>
      </c>
      <c r="K25" s="610">
        <f>'[1]2. melléklet'!L301</f>
        <v>627237</v>
      </c>
    </row>
    <row r="26" spans="1:11" x14ac:dyDescent="0.25">
      <c r="A26" s="124" t="s">
        <v>118</v>
      </c>
      <c r="B26" s="609">
        <v>462110</v>
      </c>
      <c r="C26" s="609">
        <v>811783</v>
      </c>
      <c r="D26" s="609">
        <v>2192283</v>
      </c>
      <c r="E26" s="609">
        <f>'1. melléklet'!L211</f>
        <v>2192283</v>
      </c>
      <c r="F26" s="609"/>
      <c r="G26" s="124" t="s">
        <v>120</v>
      </c>
      <c r="H26" s="610">
        <v>4906</v>
      </c>
      <c r="I26" s="610">
        <v>0</v>
      </c>
      <c r="J26" s="610">
        <v>0</v>
      </c>
      <c r="K26" s="610">
        <v>0</v>
      </c>
    </row>
    <row r="27" spans="1:11" x14ac:dyDescent="0.25">
      <c r="A27" s="124" t="s">
        <v>119</v>
      </c>
      <c r="B27" s="609">
        <v>28259</v>
      </c>
      <c r="C27" s="609">
        <v>0</v>
      </c>
      <c r="D27" s="609">
        <v>0</v>
      </c>
      <c r="E27" s="609">
        <v>0</v>
      </c>
      <c r="F27" s="609"/>
      <c r="G27" s="603"/>
      <c r="H27" s="603"/>
      <c r="I27" s="610"/>
      <c r="J27" s="610"/>
      <c r="K27" s="610"/>
    </row>
    <row r="28" spans="1:11" x14ac:dyDescent="0.25">
      <c r="A28" s="124"/>
      <c r="B28" s="609"/>
      <c r="C28" s="609"/>
      <c r="D28" s="609"/>
      <c r="E28" s="609"/>
      <c r="F28" s="609"/>
      <c r="G28" s="612"/>
      <c r="H28" s="610"/>
      <c r="I28" s="610"/>
      <c r="J28" s="610"/>
      <c r="K28" s="610"/>
    </row>
    <row r="29" spans="1:11" x14ac:dyDescent="0.25">
      <c r="A29" s="123" t="s">
        <v>121</v>
      </c>
      <c r="B29" s="613">
        <f>SUM(B21:B28)</f>
        <v>1145589</v>
      </c>
      <c r="C29" s="613">
        <f>SUM(C21:C28)</f>
        <v>3166741</v>
      </c>
      <c r="D29" s="613">
        <v>3084599</v>
      </c>
      <c r="E29" s="613">
        <f>SUM(E21:E28)</f>
        <v>3199583</v>
      </c>
      <c r="F29" s="613"/>
      <c r="G29" s="123" t="s">
        <v>122</v>
      </c>
      <c r="H29" s="615">
        <f>SUM(H21:H28)</f>
        <v>366103</v>
      </c>
      <c r="I29" s="615">
        <f>SUM(I21:I28)</f>
        <v>3350073</v>
      </c>
      <c r="J29" s="615">
        <v>3281520</v>
      </c>
      <c r="K29" s="615">
        <f>SUM(K21:K28)</f>
        <v>3358723</v>
      </c>
    </row>
    <row r="30" spans="1:11" x14ac:dyDescent="0.25">
      <c r="A30" s="123"/>
      <c r="B30" s="613"/>
      <c r="C30" s="613"/>
      <c r="D30" s="613"/>
      <c r="E30" s="613"/>
      <c r="F30" s="613"/>
      <c r="G30" s="123"/>
      <c r="H30" s="615"/>
      <c r="I30" s="615"/>
      <c r="J30" s="610"/>
      <c r="K30" s="610"/>
    </row>
    <row r="31" spans="1:11" x14ac:dyDescent="0.25">
      <c r="A31" s="123"/>
      <c r="B31" s="613"/>
      <c r="C31" s="613"/>
      <c r="D31" s="613"/>
      <c r="E31" s="613"/>
      <c r="F31" s="613"/>
      <c r="G31" s="123"/>
      <c r="H31" s="610"/>
      <c r="I31" s="610"/>
      <c r="J31" s="610"/>
      <c r="K31" s="610"/>
    </row>
    <row r="32" spans="1:11" x14ac:dyDescent="0.25">
      <c r="A32" s="122" t="s">
        <v>123</v>
      </c>
      <c r="B32" s="617">
        <f>B19+B29</f>
        <v>4654840</v>
      </c>
      <c r="C32" s="617">
        <f>C19+C29</f>
        <v>6531912</v>
      </c>
      <c r="D32" s="617">
        <v>6738112</v>
      </c>
      <c r="E32" s="617">
        <f>E19+E29</f>
        <v>6760945</v>
      </c>
      <c r="F32" s="617"/>
      <c r="G32" s="122" t="s">
        <v>124</v>
      </c>
      <c r="H32" s="617">
        <f>H19+H29</f>
        <v>3666262</v>
      </c>
      <c r="I32" s="617">
        <f>I19+I29</f>
        <v>6531912</v>
      </c>
      <c r="J32" s="617">
        <v>6738112</v>
      </c>
      <c r="K32" s="617">
        <f>K19+K29</f>
        <v>6760945</v>
      </c>
    </row>
  </sheetData>
  <mergeCells count="2">
    <mergeCell ref="A3:J3"/>
    <mergeCell ref="A4:J4"/>
  </mergeCells>
  <pageMargins left="0.7" right="0.7" top="0.75" bottom="0.75" header="0.3" footer="0.3"/>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70EA2-7A56-440B-A567-0DB9247BBB3A}">
  <dimension ref="A1:U27"/>
  <sheetViews>
    <sheetView tabSelected="1" view="pageBreakPreview" zoomScaleNormal="100" zoomScaleSheetLayoutView="100" workbookViewId="0">
      <selection activeCell="M2" sqref="M2"/>
    </sheetView>
  </sheetViews>
  <sheetFormatPr defaultRowHeight="13.2" x14ac:dyDescent="0.25"/>
  <cols>
    <col min="1" max="1" width="6.44140625" style="16" customWidth="1"/>
    <col min="2" max="2" width="30.6640625" style="20" customWidth="1"/>
    <col min="3" max="4" width="11.5546875" style="16" customWidth="1"/>
    <col min="5" max="12" width="9.88671875" style="16" bestFit="1" customWidth="1"/>
    <col min="13" max="13" width="10.6640625" style="16" customWidth="1"/>
    <col min="14" max="14" width="11.5546875" style="16" customWidth="1"/>
    <col min="15" max="16" width="11.33203125" style="17" customWidth="1"/>
    <col min="17" max="17" width="11.88671875" style="17" customWidth="1"/>
    <col min="18" max="20" width="11.33203125" style="17" customWidth="1"/>
    <col min="21" max="21" width="11.88671875" style="16" customWidth="1"/>
    <col min="22" max="256" width="9.109375" style="16"/>
    <col min="257" max="257" width="6.44140625" style="16" customWidth="1"/>
    <col min="258" max="258" width="30.6640625" style="16" customWidth="1"/>
    <col min="259" max="260" width="11.5546875" style="16" customWidth="1"/>
    <col min="261" max="262" width="8.6640625" style="16" customWidth="1"/>
    <col min="263" max="266" width="9.88671875" style="16" bestFit="1" customWidth="1"/>
    <col min="267" max="268" width="8.6640625" style="16" customWidth="1"/>
    <col min="269" max="269" width="10.6640625" style="16" customWidth="1"/>
    <col min="270" max="270" width="34.6640625" style="16" customWidth="1"/>
    <col min="271" max="272" width="11.33203125" style="16" customWidth="1"/>
    <col min="273" max="273" width="11.88671875" style="16" customWidth="1"/>
    <col min="274" max="276" width="11.33203125" style="16" customWidth="1"/>
    <col min="277" max="277" width="11.88671875" style="16" customWidth="1"/>
    <col min="278" max="512" width="9.109375" style="16"/>
    <col min="513" max="513" width="6.44140625" style="16" customWidth="1"/>
    <col min="514" max="514" width="30.6640625" style="16" customWidth="1"/>
    <col min="515" max="516" width="11.5546875" style="16" customWidth="1"/>
    <col min="517" max="518" width="8.6640625" style="16" customWidth="1"/>
    <col min="519" max="522" width="9.88671875" style="16" bestFit="1" customWidth="1"/>
    <col min="523" max="524" width="8.6640625" style="16" customWidth="1"/>
    <col min="525" max="525" width="10.6640625" style="16" customWidth="1"/>
    <col min="526" max="526" width="34.6640625" style="16" customWidth="1"/>
    <col min="527" max="528" width="11.33203125" style="16" customWidth="1"/>
    <col min="529" max="529" width="11.88671875" style="16" customWidth="1"/>
    <col min="530" max="532" width="11.33203125" style="16" customWidth="1"/>
    <col min="533" max="533" width="11.88671875" style="16" customWidth="1"/>
    <col min="534" max="768" width="9.109375" style="16"/>
    <col min="769" max="769" width="6.44140625" style="16" customWidth="1"/>
    <col min="770" max="770" width="30.6640625" style="16" customWidth="1"/>
    <col min="771" max="772" width="11.5546875" style="16" customWidth="1"/>
    <col min="773" max="774" width="8.6640625" style="16" customWidth="1"/>
    <col min="775" max="778" width="9.88671875" style="16" bestFit="1" customWidth="1"/>
    <col min="779" max="780" width="8.6640625" style="16" customWidth="1"/>
    <col min="781" max="781" width="10.6640625" style="16" customWidth="1"/>
    <col min="782" max="782" width="34.6640625" style="16" customWidth="1"/>
    <col min="783" max="784" width="11.33203125" style="16" customWidth="1"/>
    <col min="785" max="785" width="11.88671875" style="16" customWidth="1"/>
    <col min="786" max="788" width="11.33203125" style="16" customWidth="1"/>
    <col min="789" max="789" width="11.88671875" style="16" customWidth="1"/>
    <col min="790" max="1024" width="9.109375" style="16"/>
    <col min="1025" max="1025" width="6.44140625" style="16" customWidth="1"/>
    <col min="1026" max="1026" width="30.6640625" style="16" customWidth="1"/>
    <col min="1027" max="1028" width="11.5546875" style="16" customWidth="1"/>
    <col min="1029" max="1030" width="8.6640625" style="16" customWidth="1"/>
    <col min="1031" max="1034" width="9.88671875" style="16" bestFit="1" customWidth="1"/>
    <col min="1035" max="1036" width="8.6640625" style="16" customWidth="1"/>
    <col min="1037" max="1037" width="10.6640625" style="16" customWidth="1"/>
    <col min="1038" max="1038" width="34.6640625" style="16" customWidth="1"/>
    <col min="1039" max="1040" width="11.33203125" style="16" customWidth="1"/>
    <col min="1041" max="1041" width="11.88671875" style="16" customWidth="1"/>
    <col min="1042" max="1044" width="11.33203125" style="16" customWidth="1"/>
    <col min="1045" max="1045" width="11.88671875" style="16" customWidth="1"/>
    <col min="1046" max="1280" width="9.109375" style="16"/>
    <col min="1281" max="1281" width="6.44140625" style="16" customWidth="1"/>
    <col min="1282" max="1282" width="30.6640625" style="16" customWidth="1"/>
    <col min="1283" max="1284" width="11.5546875" style="16" customWidth="1"/>
    <col min="1285" max="1286" width="8.6640625" style="16" customWidth="1"/>
    <col min="1287" max="1290" width="9.88671875" style="16" bestFit="1" customWidth="1"/>
    <col min="1291" max="1292" width="8.6640625" style="16" customWidth="1"/>
    <col min="1293" max="1293" width="10.6640625" style="16" customWidth="1"/>
    <col min="1294" max="1294" width="34.6640625" style="16" customWidth="1"/>
    <col min="1295" max="1296" width="11.33203125" style="16" customWidth="1"/>
    <col min="1297" max="1297" width="11.88671875" style="16" customWidth="1"/>
    <col min="1298" max="1300" width="11.33203125" style="16" customWidth="1"/>
    <col min="1301" max="1301" width="11.88671875" style="16" customWidth="1"/>
    <col min="1302" max="1536" width="9.109375" style="16"/>
    <col min="1537" max="1537" width="6.44140625" style="16" customWidth="1"/>
    <col min="1538" max="1538" width="30.6640625" style="16" customWidth="1"/>
    <col min="1539" max="1540" width="11.5546875" style="16" customWidth="1"/>
    <col min="1541" max="1542" width="8.6640625" style="16" customWidth="1"/>
    <col min="1543" max="1546" width="9.88671875" style="16" bestFit="1" customWidth="1"/>
    <col min="1547" max="1548" width="8.6640625" style="16" customWidth="1"/>
    <col min="1549" max="1549" width="10.6640625" style="16" customWidth="1"/>
    <col min="1550" max="1550" width="34.6640625" style="16" customWidth="1"/>
    <col min="1551" max="1552" width="11.33203125" style="16" customWidth="1"/>
    <col min="1553" max="1553" width="11.88671875" style="16" customWidth="1"/>
    <col min="1554" max="1556" width="11.33203125" style="16" customWidth="1"/>
    <col min="1557" max="1557" width="11.88671875" style="16" customWidth="1"/>
    <col min="1558" max="1792" width="9.109375" style="16"/>
    <col min="1793" max="1793" width="6.44140625" style="16" customWidth="1"/>
    <col min="1794" max="1794" width="30.6640625" style="16" customWidth="1"/>
    <col min="1795" max="1796" width="11.5546875" style="16" customWidth="1"/>
    <col min="1797" max="1798" width="8.6640625" style="16" customWidth="1"/>
    <col min="1799" max="1802" width="9.88671875" style="16" bestFit="1" customWidth="1"/>
    <col min="1803" max="1804" width="8.6640625" style="16" customWidth="1"/>
    <col min="1805" max="1805" width="10.6640625" style="16" customWidth="1"/>
    <col min="1806" max="1806" width="34.6640625" style="16" customWidth="1"/>
    <col min="1807" max="1808" width="11.33203125" style="16" customWidth="1"/>
    <col min="1809" max="1809" width="11.88671875" style="16" customWidth="1"/>
    <col min="1810" max="1812" width="11.33203125" style="16" customWidth="1"/>
    <col min="1813" max="1813" width="11.88671875" style="16" customWidth="1"/>
    <col min="1814" max="2048" width="9.109375" style="16"/>
    <col min="2049" max="2049" width="6.44140625" style="16" customWidth="1"/>
    <col min="2050" max="2050" width="30.6640625" style="16" customWidth="1"/>
    <col min="2051" max="2052" width="11.5546875" style="16" customWidth="1"/>
    <col min="2053" max="2054" width="8.6640625" style="16" customWidth="1"/>
    <col min="2055" max="2058" width="9.88671875" style="16" bestFit="1" customWidth="1"/>
    <col min="2059" max="2060" width="8.6640625" style="16" customWidth="1"/>
    <col min="2061" max="2061" width="10.6640625" style="16" customWidth="1"/>
    <col min="2062" max="2062" width="34.6640625" style="16" customWidth="1"/>
    <col min="2063" max="2064" width="11.33203125" style="16" customWidth="1"/>
    <col min="2065" max="2065" width="11.88671875" style="16" customWidth="1"/>
    <col min="2066" max="2068" width="11.33203125" style="16" customWidth="1"/>
    <col min="2069" max="2069" width="11.88671875" style="16" customWidth="1"/>
    <col min="2070" max="2304" width="9.109375" style="16"/>
    <col min="2305" max="2305" width="6.44140625" style="16" customWidth="1"/>
    <col min="2306" max="2306" width="30.6640625" style="16" customWidth="1"/>
    <col min="2307" max="2308" width="11.5546875" style="16" customWidth="1"/>
    <col min="2309" max="2310" width="8.6640625" style="16" customWidth="1"/>
    <col min="2311" max="2314" width="9.88671875" style="16" bestFit="1" customWidth="1"/>
    <col min="2315" max="2316" width="8.6640625" style="16" customWidth="1"/>
    <col min="2317" max="2317" width="10.6640625" style="16" customWidth="1"/>
    <col min="2318" max="2318" width="34.6640625" style="16" customWidth="1"/>
    <col min="2319" max="2320" width="11.33203125" style="16" customWidth="1"/>
    <col min="2321" max="2321" width="11.88671875" style="16" customWidth="1"/>
    <col min="2322" max="2324" width="11.33203125" style="16" customWidth="1"/>
    <col min="2325" max="2325" width="11.88671875" style="16" customWidth="1"/>
    <col min="2326" max="2560" width="9.109375" style="16"/>
    <col min="2561" max="2561" width="6.44140625" style="16" customWidth="1"/>
    <col min="2562" max="2562" width="30.6640625" style="16" customWidth="1"/>
    <col min="2563" max="2564" width="11.5546875" style="16" customWidth="1"/>
    <col min="2565" max="2566" width="8.6640625" style="16" customWidth="1"/>
    <col min="2567" max="2570" width="9.88671875" style="16" bestFit="1" customWidth="1"/>
    <col min="2571" max="2572" width="8.6640625" style="16" customWidth="1"/>
    <col min="2573" max="2573" width="10.6640625" style="16" customWidth="1"/>
    <col min="2574" max="2574" width="34.6640625" style="16" customWidth="1"/>
    <col min="2575" max="2576" width="11.33203125" style="16" customWidth="1"/>
    <col min="2577" max="2577" width="11.88671875" style="16" customWidth="1"/>
    <col min="2578" max="2580" width="11.33203125" style="16" customWidth="1"/>
    <col min="2581" max="2581" width="11.88671875" style="16" customWidth="1"/>
    <col min="2582" max="2816" width="9.109375" style="16"/>
    <col min="2817" max="2817" width="6.44140625" style="16" customWidth="1"/>
    <col min="2818" max="2818" width="30.6640625" style="16" customWidth="1"/>
    <col min="2819" max="2820" width="11.5546875" style="16" customWidth="1"/>
    <col min="2821" max="2822" width="8.6640625" style="16" customWidth="1"/>
    <col min="2823" max="2826" width="9.88671875" style="16" bestFit="1" customWidth="1"/>
    <col min="2827" max="2828" width="8.6640625" style="16" customWidth="1"/>
    <col min="2829" max="2829" width="10.6640625" style="16" customWidth="1"/>
    <col min="2830" max="2830" width="34.6640625" style="16" customWidth="1"/>
    <col min="2831" max="2832" width="11.33203125" style="16" customWidth="1"/>
    <col min="2833" max="2833" width="11.88671875" style="16" customWidth="1"/>
    <col min="2834" max="2836" width="11.33203125" style="16" customWidth="1"/>
    <col min="2837" max="2837" width="11.88671875" style="16" customWidth="1"/>
    <col min="2838" max="3072" width="9.109375" style="16"/>
    <col min="3073" max="3073" width="6.44140625" style="16" customWidth="1"/>
    <col min="3074" max="3074" width="30.6640625" style="16" customWidth="1"/>
    <col min="3075" max="3076" width="11.5546875" style="16" customWidth="1"/>
    <col min="3077" max="3078" width="8.6640625" style="16" customWidth="1"/>
    <col min="3079" max="3082" width="9.88671875" style="16" bestFit="1" customWidth="1"/>
    <col min="3083" max="3084" width="8.6640625" style="16" customWidth="1"/>
    <col min="3085" max="3085" width="10.6640625" style="16" customWidth="1"/>
    <col min="3086" max="3086" width="34.6640625" style="16" customWidth="1"/>
    <col min="3087" max="3088" width="11.33203125" style="16" customWidth="1"/>
    <col min="3089" max="3089" width="11.88671875" style="16" customWidth="1"/>
    <col min="3090" max="3092" width="11.33203125" style="16" customWidth="1"/>
    <col min="3093" max="3093" width="11.88671875" style="16" customWidth="1"/>
    <col min="3094" max="3328" width="9.109375" style="16"/>
    <col min="3329" max="3329" width="6.44140625" style="16" customWidth="1"/>
    <col min="3330" max="3330" width="30.6640625" style="16" customWidth="1"/>
    <col min="3331" max="3332" width="11.5546875" style="16" customWidth="1"/>
    <col min="3333" max="3334" width="8.6640625" style="16" customWidth="1"/>
    <col min="3335" max="3338" width="9.88671875" style="16" bestFit="1" customWidth="1"/>
    <col min="3339" max="3340" width="8.6640625" style="16" customWidth="1"/>
    <col min="3341" max="3341" width="10.6640625" style="16" customWidth="1"/>
    <col min="3342" max="3342" width="34.6640625" style="16" customWidth="1"/>
    <col min="3343" max="3344" width="11.33203125" style="16" customWidth="1"/>
    <col min="3345" max="3345" width="11.88671875" style="16" customWidth="1"/>
    <col min="3346" max="3348" width="11.33203125" style="16" customWidth="1"/>
    <col min="3349" max="3349" width="11.88671875" style="16" customWidth="1"/>
    <col min="3350" max="3584" width="9.109375" style="16"/>
    <col min="3585" max="3585" width="6.44140625" style="16" customWidth="1"/>
    <col min="3586" max="3586" width="30.6640625" style="16" customWidth="1"/>
    <col min="3587" max="3588" width="11.5546875" style="16" customWidth="1"/>
    <col min="3589" max="3590" width="8.6640625" style="16" customWidth="1"/>
    <col min="3591" max="3594" width="9.88671875" style="16" bestFit="1" customWidth="1"/>
    <col min="3595" max="3596" width="8.6640625" style="16" customWidth="1"/>
    <col min="3597" max="3597" width="10.6640625" style="16" customWidth="1"/>
    <col min="3598" max="3598" width="34.6640625" style="16" customWidth="1"/>
    <col min="3599" max="3600" width="11.33203125" style="16" customWidth="1"/>
    <col min="3601" max="3601" width="11.88671875" style="16" customWidth="1"/>
    <col min="3602" max="3604" width="11.33203125" style="16" customWidth="1"/>
    <col min="3605" max="3605" width="11.88671875" style="16" customWidth="1"/>
    <col min="3606" max="3840" width="9.109375" style="16"/>
    <col min="3841" max="3841" width="6.44140625" style="16" customWidth="1"/>
    <col min="3842" max="3842" width="30.6640625" style="16" customWidth="1"/>
    <col min="3843" max="3844" width="11.5546875" style="16" customWidth="1"/>
    <col min="3845" max="3846" width="8.6640625" style="16" customWidth="1"/>
    <col min="3847" max="3850" width="9.88671875" style="16" bestFit="1" customWidth="1"/>
    <col min="3851" max="3852" width="8.6640625" style="16" customWidth="1"/>
    <col min="3853" max="3853" width="10.6640625" style="16" customWidth="1"/>
    <col min="3854" max="3854" width="34.6640625" style="16" customWidth="1"/>
    <col min="3855" max="3856" width="11.33203125" style="16" customWidth="1"/>
    <col min="3857" max="3857" width="11.88671875" style="16" customWidth="1"/>
    <col min="3858" max="3860" width="11.33203125" style="16" customWidth="1"/>
    <col min="3861" max="3861" width="11.88671875" style="16" customWidth="1"/>
    <col min="3862" max="4096" width="9.109375" style="16"/>
    <col min="4097" max="4097" width="6.44140625" style="16" customWidth="1"/>
    <col min="4098" max="4098" width="30.6640625" style="16" customWidth="1"/>
    <col min="4099" max="4100" width="11.5546875" style="16" customWidth="1"/>
    <col min="4101" max="4102" width="8.6640625" style="16" customWidth="1"/>
    <col min="4103" max="4106" width="9.88671875" style="16" bestFit="1" customWidth="1"/>
    <col min="4107" max="4108" width="8.6640625" style="16" customWidth="1"/>
    <col min="4109" max="4109" width="10.6640625" style="16" customWidth="1"/>
    <col min="4110" max="4110" width="34.6640625" style="16" customWidth="1"/>
    <col min="4111" max="4112" width="11.33203125" style="16" customWidth="1"/>
    <col min="4113" max="4113" width="11.88671875" style="16" customWidth="1"/>
    <col min="4114" max="4116" width="11.33203125" style="16" customWidth="1"/>
    <col min="4117" max="4117" width="11.88671875" style="16" customWidth="1"/>
    <col min="4118" max="4352" width="9.109375" style="16"/>
    <col min="4353" max="4353" width="6.44140625" style="16" customWidth="1"/>
    <col min="4354" max="4354" width="30.6640625" style="16" customWidth="1"/>
    <col min="4355" max="4356" width="11.5546875" style="16" customWidth="1"/>
    <col min="4357" max="4358" width="8.6640625" style="16" customWidth="1"/>
    <col min="4359" max="4362" width="9.88671875" style="16" bestFit="1" customWidth="1"/>
    <col min="4363" max="4364" width="8.6640625" style="16" customWidth="1"/>
    <col min="4365" max="4365" width="10.6640625" style="16" customWidth="1"/>
    <col min="4366" max="4366" width="34.6640625" style="16" customWidth="1"/>
    <col min="4367" max="4368" width="11.33203125" style="16" customWidth="1"/>
    <col min="4369" max="4369" width="11.88671875" style="16" customWidth="1"/>
    <col min="4370" max="4372" width="11.33203125" style="16" customWidth="1"/>
    <col min="4373" max="4373" width="11.88671875" style="16" customWidth="1"/>
    <col min="4374" max="4608" width="9.109375" style="16"/>
    <col min="4609" max="4609" width="6.44140625" style="16" customWidth="1"/>
    <col min="4610" max="4610" width="30.6640625" style="16" customWidth="1"/>
    <col min="4611" max="4612" width="11.5546875" style="16" customWidth="1"/>
    <col min="4613" max="4614" width="8.6640625" style="16" customWidth="1"/>
    <col min="4615" max="4618" width="9.88671875" style="16" bestFit="1" customWidth="1"/>
    <col min="4619" max="4620" width="8.6640625" style="16" customWidth="1"/>
    <col min="4621" max="4621" width="10.6640625" style="16" customWidth="1"/>
    <col min="4622" max="4622" width="34.6640625" style="16" customWidth="1"/>
    <col min="4623" max="4624" width="11.33203125" style="16" customWidth="1"/>
    <col min="4625" max="4625" width="11.88671875" style="16" customWidth="1"/>
    <col min="4626" max="4628" width="11.33203125" style="16" customWidth="1"/>
    <col min="4629" max="4629" width="11.88671875" style="16" customWidth="1"/>
    <col min="4630" max="4864" width="9.109375" style="16"/>
    <col min="4865" max="4865" width="6.44140625" style="16" customWidth="1"/>
    <col min="4866" max="4866" width="30.6640625" style="16" customWidth="1"/>
    <col min="4867" max="4868" width="11.5546875" style="16" customWidth="1"/>
    <col min="4869" max="4870" width="8.6640625" style="16" customWidth="1"/>
    <col min="4871" max="4874" width="9.88671875" style="16" bestFit="1" customWidth="1"/>
    <col min="4875" max="4876" width="8.6640625" style="16" customWidth="1"/>
    <col min="4877" max="4877" width="10.6640625" style="16" customWidth="1"/>
    <col min="4878" max="4878" width="34.6640625" style="16" customWidth="1"/>
    <col min="4879" max="4880" width="11.33203125" style="16" customWidth="1"/>
    <col min="4881" max="4881" width="11.88671875" style="16" customWidth="1"/>
    <col min="4882" max="4884" width="11.33203125" style="16" customWidth="1"/>
    <col min="4885" max="4885" width="11.88671875" style="16" customWidth="1"/>
    <col min="4886" max="5120" width="9.109375" style="16"/>
    <col min="5121" max="5121" width="6.44140625" style="16" customWidth="1"/>
    <col min="5122" max="5122" width="30.6640625" style="16" customWidth="1"/>
    <col min="5123" max="5124" width="11.5546875" style="16" customWidth="1"/>
    <col min="5125" max="5126" width="8.6640625" style="16" customWidth="1"/>
    <col min="5127" max="5130" width="9.88671875" style="16" bestFit="1" customWidth="1"/>
    <col min="5131" max="5132" width="8.6640625" style="16" customWidth="1"/>
    <col min="5133" max="5133" width="10.6640625" style="16" customWidth="1"/>
    <col min="5134" max="5134" width="34.6640625" style="16" customWidth="1"/>
    <col min="5135" max="5136" width="11.33203125" style="16" customWidth="1"/>
    <col min="5137" max="5137" width="11.88671875" style="16" customWidth="1"/>
    <col min="5138" max="5140" width="11.33203125" style="16" customWidth="1"/>
    <col min="5141" max="5141" width="11.88671875" style="16" customWidth="1"/>
    <col min="5142" max="5376" width="9.109375" style="16"/>
    <col min="5377" max="5377" width="6.44140625" style="16" customWidth="1"/>
    <col min="5378" max="5378" width="30.6640625" style="16" customWidth="1"/>
    <col min="5379" max="5380" width="11.5546875" style="16" customWidth="1"/>
    <col min="5381" max="5382" width="8.6640625" style="16" customWidth="1"/>
    <col min="5383" max="5386" width="9.88671875" style="16" bestFit="1" customWidth="1"/>
    <col min="5387" max="5388" width="8.6640625" style="16" customWidth="1"/>
    <col min="5389" max="5389" width="10.6640625" style="16" customWidth="1"/>
    <col min="5390" max="5390" width="34.6640625" style="16" customWidth="1"/>
    <col min="5391" max="5392" width="11.33203125" style="16" customWidth="1"/>
    <col min="5393" max="5393" width="11.88671875" style="16" customWidth="1"/>
    <col min="5394" max="5396" width="11.33203125" style="16" customWidth="1"/>
    <col min="5397" max="5397" width="11.88671875" style="16" customWidth="1"/>
    <col min="5398" max="5632" width="9.109375" style="16"/>
    <col min="5633" max="5633" width="6.44140625" style="16" customWidth="1"/>
    <col min="5634" max="5634" width="30.6640625" style="16" customWidth="1"/>
    <col min="5635" max="5636" width="11.5546875" style="16" customWidth="1"/>
    <col min="5637" max="5638" width="8.6640625" style="16" customWidth="1"/>
    <col min="5639" max="5642" width="9.88671875" style="16" bestFit="1" customWidth="1"/>
    <col min="5643" max="5644" width="8.6640625" style="16" customWidth="1"/>
    <col min="5645" max="5645" width="10.6640625" style="16" customWidth="1"/>
    <col min="5646" max="5646" width="34.6640625" style="16" customWidth="1"/>
    <col min="5647" max="5648" width="11.33203125" style="16" customWidth="1"/>
    <col min="5649" max="5649" width="11.88671875" style="16" customWidth="1"/>
    <col min="5650" max="5652" width="11.33203125" style="16" customWidth="1"/>
    <col min="5653" max="5653" width="11.88671875" style="16" customWidth="1"/>
    <col min="5654" max="5888" width="9.109375" style="16"/>
    <col min="5889" max="5889" width="6.44140625" style="16" customWidth="1"/>
    <col min="5890" max="5890" width="30.6640625" style="16" customWidth="1"/>
    <col min="5891" max="5892" width="11.5546875" style="16" customWidth="1"/>
    <col min="5893" max="5894" width="8.6640625" style="16" customWidth="1"/>
    <col min="5895" max="5898" width="9.88671875" style="16" bestFit="1" customWidth="1"/>
    <col min="5899" max="5900" width="8.6640625" style="16" customWidth="1"/>
    <col min="5901" max="5901" width="10.6640625" style="16" customWidth="1"/>
    <col min="5902" max="5902" width="34.6640625" style="16" customWidth="1"/>
    <col min="5903" max="5904" width="11.33203125" style="16" customWidth="1"/>
    <col min="5905" max="5905" width="11.88671875" style="16" customWidth="1"/>
    <col min="5906" max="5908" width="11.33203125" style="16" customWidth="1"/>
    <col min="5909" max="5909" width="11.88671875" style="16" customWidth="1"/>
    <col min="5910" max="6144" width="9.109375" style="16"/>
    <col min="6145" max="6145" width="6.44140625" style="16" customWidth="1"/>
    <col min="6146" max="6146" width="30.6640625" style="16" customWidth="1"/>
    <col min="6147" max="6148" width="11.5546875" style="16" customWidth="1"/>
    <col min="6149" max="6150" width="8.6640625" style="16" customWidth="1"/>
    <col min="6151" max="6154" width="9.88671875" style="16" bestFit="1" customWidth="1"/>
    <col min="6155" max="6156" width="8.6640625" style="16" customWidth="1"/>
    <col min="6157" max="6157" width="10.6640625" style="16" customWidth="1"/>
    <col min="6158" max="6158" width="34.6640625" style="16" customWidth="1"/>
    <col min="6159" max="6160" width="11.33203125" style="16" customWidth="1"/>
    <col min="6161" max="6161" width="11.88671875" style="16" customWidth="1"/>
    <col min="6162" max="6164" width="11.33203125" style="16" customWidth="1"/>
    <col min="6165" max="6165" width="11.88671875" style="16" customWidth="1"/>
    <col min="6166" max="6400" width="9.109375" style="16"/>
    <col min="6401" max="6401" width="6.44140625" style="16" customWidth="1"/>
    <col min="6402" max="6402" width="30.6640625" style="16" customWidth="1"/>
    <col min="6403" max="6404" width="11.5546875" style="16" customWidth="1"/>
    <col min="6405" max="6406" width="8.6640625" style="16" customWidth="1"/>
    <col min="6407" max="6410" width="9.88671875" style="16" bestFit="1" customWidth="1"/>
    <col min="6411" max="6412" width="8.6640625" style="16" customWidth="1"/>
    <col min="6413" max="6413" width="10.6640625" style="16" customWidth="1"/>
    <col min="6414" max="6414" width="34.6640625" style="16" customWidth="1"/>
    <col min="6415" max="6416" width="11.33203125" style="16" customWidth="1"/>
    <col min="6417" max="6417" width="11.88671875" style="16" customWidth="1"/>
    <col min="6418" max="6420" width="11.33203125" style="16" customWidth="1"/>
    <col min="6421" max="6421" width="11.88671875" style="16" customWidth="1"/>
    <col min="6422" max="6656" width="9.109375" style="16"/>
    <col min="6657" max="6657" width="6.44140625" style="16" customWidth="1"/>
    <col min="6658" max="6658" width="30.6640625" style="16" customWidth="1"/>
    <col min="6659" max="6660" width="11.5546875" style="16" customWidth="1"/>
    <col min="6661" max="6662" width="8.6640625" style="16" customWidth="1"/>
    <col min="6663" max="6666" width="9.88671875" style="16" bestFit="1" customWidth="1"/>
    <col min="6667" max="6668" width="8.6640625" style="16" customWidth="1"/>
    <col min="6669" max="6669" width="10.6640625" style="16" customWidth="1"/>
    <col min="6670" max="6670" width="34.6640625" style="16" customWidth="1"/>
    <col min="6671" max="6672" width="11.33203125" style="16" customWidth="1"/>
    <col min="6673" max="6673" width="11.88671875" style="16" customWidth="1"/>
    <col min="6674" max="6676" width="11.33203125" style="16" customWidth="1"/>
    <col min="6677" max="6677" width="11.88671875" style="16" customWidth="1"/>
    <col min="6678" max="6912" width="9.109375" style="16"/>
    <col min="6913" max="6913" width="6.44140625" style="16" customWidth="1"/>
    <col min="6914" max="6914" width="30.6640625" style="16" customWidth="1"/>
    <col min="6915" max="6916" width="11.5546875" style="16" customWidth="1"/>
    <col min="6917" max="6918" width="8.6640625" style="16" customWidth="1"/>
    <col min="6919" max="6922" width="9.88671875" style="16" bestFit="1" customWidth="1"/>
    <col min="6923" max="6924" width="8.6640625" style="16" customWidth="1"/>
    <col min="6925" max="6925" width="10.6640625" style="16" customWidth="1"/>
    <col min="6926" max="6926" width="34.6640625" style="16" customWidth="1"/>
    <col min="6927" max="6928" width="11.33203125" style="16" customWidth="1"/>
    <col min="6929" max="6929" width="11.88671875" style="16" customWidth="1"/>
    <col min="6930" max="6932" width="11.33203125" style="16" customWidth="1"/>
    <col min="6933" max="6933" width="11.88671875" style="16" customWidth="1"/>
    <col min="6934" max="7168" width="9.109375" style="16"/>
    <col min="7169" max="7169" width="6.44140625" style="16" customWidth="1"/>
    <col min="7170" max="7170" width="30.6640625" style="16" customWidth="1"/>
    <col min="7171" max="7172" width="11.5546875" style="16" customWidth="1"/>
    <col min="7173" max="7174" width="8.6640625" style="16" customWidth="1"/>
    <col min="7175" max="7178" width="9.88671875" style="16" bestFit="1" customWidth="1"/>
    <col min="7179" max="7180" width="8.6640625" style="16" customWidth="1"/>
    <col min="7181" max="7181" width="10.6640625" style="16" customWidth="1"/>
    <col min="7182" max="7182" width="34.6640625" style="16" customWidth="1"/>
    <col min="7183" max="7184" width="11.33203125" style="16" customWidth="1"/>
    <col min="7185" max="7185" width="11.88671875" style="16" customWidth="1"/>
    <col min="7186" max="7188" width="11.33203125" style="16" customWidth="1"/>
    <col min="7189" max="7189" width="11.88671875" style="16" customWidth="1"/>
    <col min="7190" max="7424" width="9.109375" style="16"/>
    <col min="7425" max="7425" width="6.44140625" style="16" customWidth="1"/>
    <col min="7426" max="7426" width="30.6640625" style="16" customWidth="1"/>
    <col min="7427" max="7428" width="11.5546875" style="16" customWidth="1"/>
    <col min="7429" max="7430" width="8.6640625" style="16" customWidth="1"/>
    <col min="7431" max="7434" width="9.88671875" style="16" bestFit="1" customWidth="1"/>
    <col min="7435" max="7436" width="8.6640625" style="16" customWidth="1"/>
    <col min="7437" max="7437" width="10.6640625" style="16" customWidth="1"/>
    <col min="7438" max="7438" width="34.6640625" style="16" customWidth="1"/>
    <col min="7439" max="7440" width="11.33203125" style="16" customWidth="1"/>
    <col min="7441" max="7441" width="11.88671875" style="16" customWidth="1"/>
    <col min="7442" max="7444" width="11.33203125" style="16" customWidth="1"/>
    <col min="7445" max="7445" width="11.88671875" style="16" customWidth="1"/>
    <col min="7446" max="7680" width="9.109375" style="16"/>
    <col min="7681" max="7681" width="6.44140625" style="16" customWidth="1"/>
    <col min="7682" max="7682" width="30.6640625" style="16" customWidth="1"/>
    <col min="7683" max="7684" width="11.5546875" style="16" customWidth="1"/>
    <col min="7685" max="7686" width="8.6640625" style="16" customWidth="1"/>
    <col min="7687" max="7690" width="9.88671875" style="16" bestFit="1" customWidth="1"/>
    <col min="7691" max="7692" width="8.6640625" style="16" customWidth="1"/>
    <col min="7693" max="7693" width="10.6640625" style="16" customWidth="1"/>
    <col min="7694" max="7694" width="34.6640625" style="16" customWidth="1"/>
    <col min="7695" max="7696" width="11.33203125" style="16" customWidth="1"/>
    <col min="7697" max="7697" width="11.88671875" style="16" customWidth="1"/>
    <col min="7698" max="7700" width="11.33203125" style="16" customWidth="1"/>
    <col min="7701" max="7701" width="11.88671875" style="16" customWidth="1"/>
    <col min="7702" max="7936" width="9.109375" style="16"/>
    <col min="7937" max="7937" width="6.44140625" style="16" customWidth="1"/>
    <col min="7938" max="7938" width="30.6640625" style="16" customWidth="1"/>
    <col min="7939" max="7940" width="11.5546875" style="16" customWidth="1"/>
    <col min="7941" max="7942" width="8.6640625" style="16" customWidth="1"/>
    <col min="7943" max="7946" width="9.88671875" style="16" bestFit="1" customWidth="1"/>
    <col min="7947" max="7948" width="8.6640625" style="16" customWidth="1"/>
    <col min="7949" max="7949" width="10.6640625" style="16" customWidth="1"/>
    <col min="7950" max="7950" width="34.6640625" style="16" customWidth="1"/>
    <col min="7951" max="7952" width="11.33203125" style="16" customWidth="1"/>
    <col min="7953" max="7953" width="11.88671875" style="16" customWidth="1"/>
    <col min="7954" max="7956" width="11.33203125" style="16" customWidth="1"/>
    <col min="7957" max="7957" width="11.88671875" style="16" customWidth="1"/>
    <col min="7958" max="8192" width="9.109375" style="16"/>
    <col min="8193" max="8193" width="6.44140625" style="16" customWidth="1"/>
    <col min="8194" max="8194" width="30.6640625" style="16" customWidth="1"/>
    <col min="8195" max="8196" width="11.5546875" style="16" customWidth="1"/>
    <col min="8197" max="8198" width="8.6640625" style="16" customWidth="1"/>
    <col min="8199" max="8202" width="9.88671875" style="16" bestFit="1" customWidth="1"/>
    <col min="8203" max="8204" width="8.6640625" style="16" customWidth="1"/>
    <col min="8205" max="8205" width="10.6640625" style="16" customWidth="1"/>
    <col min="8206" max="8206" width="34.6640625" style="16" customWidth="1"/>
    <col min="8207" max="8208" width="11.33203125" style="16" customWidth="1"/>
    <col min="8209" max="8209" width="11.88671875" style="16" customWidth="1"/>
    <col min="8210" max="8212" width="11.33203125" style="16" customWidth="1"/>
    <col min="8213" max="8213" width="11.88671875" style="16" customWidth="1"/>
    <col min="8214" max="8448" width="9.109375" style="16"/>
    <col min="8449" max="8449" width="6.44140625" style="16" customWidth="1"/>
    <col min="8450" max="8450" width="30.6640625" style="16" customWidth="1"/>
    <col min="8451" max="8452" width="11.5546875" style="16" customWidth="1"/>
    <col min="8453" max="8454" width="8.6640625" style="16" customWidth="1"/>
    <col min="8455" max="8458" width="9.88671875" style="16" bestFit="1" customWidth="1"/>
    <col min="8459" max="8460" width="8.6640625" style="16" customWidth="1"/>
    <col min="8461" max="8461" width="10.6640625" style="16" customWidth="1"/>
    <col min="8462" max="8462" width="34.6640625" style="16" customWidth="1"/>
    <col min="8463" max="8464" width="11.33203125" style="16" customWidth="1"/>
    <col min="8465" max="8465" width="11.88671875" style="16" customWidth="1"/>
    <col min="8466" max="8468" width="11.33203125" style="16" customWidth="1"/>
    <col min="8469" max="8469" width="11.88671875" style="16" customWidth="1"/>
    <col min="8470" max="8704" width="9.109375" style="16"/>
    <col min="8705" max="8705" width="6.44140625" style="16" customWidth="1"/>
    <col min="8706" max="8706" width="30.6640625" style="16" customWidth="1"/>
    <col min="8707" max="8708" width="11.5546875" style="16" customWidth="1"/>
    <col min="8709" max="8710" width="8.6640625" style="16" customWidth="1"/>
    <col min="8711" max="8714" width="9.88671875" style="16" bestFit="1" customWidth="1"/>
    <col min="8715" max="8716" width="8.6640625" style="16" customWidth="1"/>
    <col min="8717" max="8717" width="10.6640625" style="16" customWidth="1"/>
    <col min="8718" max="8718" width="34.6640625" style="16" customWidth="1"/>
    <col min="8719" max="8720" width="11.33203125" style="16" customWidth="1"/>
    <col min="8721" max="8721" width="11.88671875" style="16" customWidth="1"/>
    <col min="8722" max="8724" width="11.33203125" style="16" customWidth="1"/>
    <col min="8725" max="8725" width="11.88671875" style="16" customWidth="1"/>
    <col min="8726" max="8960" width="9.109375" style="16"/>
    <col min="8961" max="8961" width="6.44140625" style="16" customWidth="1"/>
    <col min="8962" max="8962" width="30.6640625" style="16" customWidth="1"/>
    <col min="8963" max="8964" width="11.5546875" style="16" customWidth="1"/>
    <col min="8965" max="8966" width="8.6640625" style="16" customWidth="1"/>
    <col min="8967" max="8970" width="9.88671875" style="16" bestFit="1" customWidth="1"/>
    <col min="8971" max="8972" width="8.6640625" style="16" customWidth="1"/>
    <col min="8973" max="8973" width="10.6640625" style="16" customWidth="1"/>
    <col min="8974" max="8974" width="34.6640625" style="16" customWidth="1"/>
    <col min="8975" max="8976" width="11.33203125" style="16" customWidth="1"/>
    <col min="8977" max="8977" width="11.88671875" style="16" customWidth="1"/>
    <col min="8978" max="8980" width="11.33203125" style="16" customWidth="1"/>
    <col min="8981" max="8981" width="11.88671875" style="16" customWidth="1"/>
    <col min="8982" max="9216" width="9.109375" style="16"/>
    <col min="9217" max="9217" width="6.44140625" style="16" customWidth="1"/>
    <col min="9218" max="9218" width="30.6640625" style="16" customWidth="1"/>
    <col min="9219" max="9220" width="11.5546875" style="16" customWidth="1"/>
    <col min="9221" max="9222" width="8.6640625" style="16" customWidth="1"/>
    <col min="9223" max="9226" width="9.88671875" style="16" bestFit="1" customWidth="1"/>
    <col min="9227" max="9228" width="8.6640625" style="16" customWidth="1"/>
    <col min="9229" max="9229" width="10.6640625" style="16" customWidth="1"/>
    <col min="9230" max="9230" width="34.6640625" style="16" customWidth="1"/>
    <col min="9231" max="9232" width="11.33203125" style="16" customWidth="1"/>
    <col min="9233" max="9233" width="11.88671875" style="16" customWidth="1"/>
    <col min="9234" max="9236" width="11.33203125" style="16" customWidth="1"/>
    <col min="9237" max="9237" width="11.88671875" style="16" customWidth="1"/>
    <col min="9238" max="9472" width="9.109375" style="16"/>
    <col min="9473" max="9473" width="6.44140625" style="16" customWidth="1"/>
    <col min="9474" max="9474" width="30.6640625" style="16" customWidth="1"/>
    <col min="9475" max="9476" width="11.5546875" style="16" customWidth="1"/>
    <col min="9477" max="9478" width="8.6640625" style="16" customWidth="1"/>
    <col min="9479" max="9482" width="9.88671875" style="16" bestFit="1" customWidth="1"/>
    <col min="9483" max="9484" width="8.6640625" style="16" customWidth="1"/>
    <col min="9485" max="9485" width="10.6640625" style="16" customWidth="1"/>
    <col min="9486" max="9486" width="34.6640625" style="16" customWidth="1"/>
    <col min="9487" max="9488" width="11.33203125" style="16" customWidth="1"/>
    <col min="9489" max="9489" width="11.88671875" style="16" customWidth="1"/>
    <col min="9490" max="9492" width="11.33203125" style="16" customWidth="1"/>
    <col min="9493" max="9493" width="11.88671875" style="16" customWidth="1"/>
    <col min="9494" max="9728" width="9.109375" style="16"/>
    <col min="9729" max="9729" width="6.44140625" style="16" customWidth="1"/>
    <col min="9730" max="9730" width="30.6640625" style="16" customWidth="1"/>
    <col min="9731" max="9732" width="11.5546875" style="16" customWidth="1"/>
    <col min="9733" max="9734" width="8.6640625" style="16" customWidth="1"/>
    <col min="9735" max="9738" width="9.88671875" style="16" bestFit="1" customWidth="1"/>
    <col min="9739" max="9740" width="8.6640625" style="16" customWidth="1"/>
    <col min="9741" max="9741" width="10.6640625" style="16" customWidth="1"/>
    <col min="9742" max="9742" width="34.6640625" style="16" customWidth="1"/>
    <col min="9743" max="9744" width="11.33203125" style="16" customWidth="1"/>
    <col min="9745" max="9745" width="11.88671875" style="16" customWidth="1"/>
    <col min="9746" max="9748" width="11.33203125" style="16" customWidth="1"/>
    <col min="9749" max="9749" width="11.88671875" style="16" customWidth="1"/>
    <col min="9750" max="9984" width="9.109375" style="16"/>
    <col min="9985" max="9985" width="6.44140625" style="16" customWidth="1"/>
    <col min="9986" max="9986" width="30.6640625" style="16" customWidth="1"/>
    <col min="9987" max="9988" width="11.5546875" style="16" customWidth="1"/>
    <col min="9989" max="9990" width="8.6640625" style="16" customWidth="1"/>
    <col min="9991" max="9994" width="9.88671875" style="16" bestFit="1" customWidth="1"/>
    <col min="9995" max="9996" width="8.6640625" style="16" customWidth="1"/>
    <col min="9997" max="9997" width="10.6640625" style="16" customWidth="1"/>
    <col min="9998" max="9998" width="34.6640625" style="16" customWidth="1"/>
    <col min="9999" max="10000" width="11.33203125" style="16" customWidth="1"/>
    <col min="10001" max="10001" width="11.88671875" style="16" customWidth="1"/>
    <col min="10002" max="10004" width="11.33203125" style="16" customWidth="1"/>
    <col min="10005" max="10005" width="11.88671875" style="16" customWidth="1"/>
    <col min="10006" max="10240" width="9.109375" style="16"/>
    <col min="10241" max="10241" width="6.44140625" style="16" customWidth="1"/>
    <col min="10242" max="10242" width="30.6640625" style="16" customWidth="1"/>
    <col min="10243" max="10244" width="11.5546875" style="16" customWidth="1"/>
    <col min="10245" max="10246" width="8.6640625" style="16" customWidth="1"/>
    <col min="10247" max="10250" width="9.88671875" style="16" bestFit="1" customWidth="1"/>
    <col min="10251" max="10252" width="8.6640625" style="16" customWidth="1"/>
    <col min="10253" max="10253" width="10.6640625" style="16" customWidth="1"/>
    <col min="10254" max="10254" width="34.6640625" style="16" customWidth="1"/>
    <col min="10255" max="10256" width="11.33203125" style="16" customWidth="1"/>
    <col min="10257" max="10257" width="11.88671875" style="16" customWidth="1"/>
    <col min="10258" max="10260" width="11.33203125" style="16" customWidth="1"/>
    <col min="10261" max="10261" width="11.88671875" style="16" customWidth="1"/>
    <col min="10262" max="10496" width="9.109375" style="16"/>
    <col min="10497" max="10497" width="6.44140625" style="16" customWidth="1"/>
    <col min="10498" max="10498" width="30.6640625" style="16" customWidth="1"/>
    <col min="10499" max="10500" width="11.5546875" style="16" customWidth="1"/>
    <col min="10501" max="10502" width="8.6640625" style="16" customWidth="1"/>
    <col min="10503" max="10506" width="9.88671875" style="16" bestFit="1" customWidth="1"/>
    <col min="10507" max="10508" width="8.6640625" style="16" customWidth="1"/>
    <col min="10509" max="10509" width="10.6640625" style="16" customWidth="1"/>
    <col min="10510" max="10510" width="34.6640625" style="16" customWidth="1"/>
    <col min="10511" max="10512" width="11.33203125" style="16" customWidth="1"/>
    <col min="10513" max="10513" width="11.88671875" style="16" customWidth="1"/>
    <col min="10514" max="10516" width="11.33203125" style="16" customWidth="1"/>
    <col min="10517" max="10517" width="11.88671875" style="16" customWidth="1"/>
    <col min="10518" max="10752" width="9.109375" style="16"/>
    <col min="10753" max="10753" width="6.44140625" style="16" customWidth="1"/>
    <col min="10754" max="10754" width="30.6640625" style="16" customWidth="1"/>
    <col min="10755" max="10756" width="11.5546875" style="16" customWidth="1"/>
    <col min="10757" max="10758" width="8.6640625" style="16" customWidth="1"/>
    <col min="10759" max="10762" width="9.88671875" style="16" bestFit="1" customWidth="1"/>
    <col min="10763" max="10764" width="8.6640625" style="16" customWidth="1"/>
    <col min="10765" max="10765" width="10.6640625" style="16" customWidth="1"/>
    <col min="10766" max="10766" width="34.6640625" style="16" customWidth="1"/>
    <col min="10767" max="10768" width="11.33203125" style="16" customWidth="1"/>
    <col min="10769" max="10769" width="11.88671875" style="16" customWidth="1"/>
    <col min="10770" max="10772" width="11.33203125" style="16" customWidth="1"/>
    <col min="10773" max="10773" width="11.88671875" style="16" customWidth="1"/>
    <col min="10774" max="11008" width="9.109375" style="16"/>
    <col min="11009" max="11009" width="6.44140625" style="16" customWidth="1"/>
    <col min="11010" max="11010" width="30.6640625" style="16" customWidth="1"/>
    <col min="11011" max="11012" width="11.5546875" style="16" customWidth="1"/>
    <col min="11013" max="11014" width="8.6640625" style="16" customWidth="1"/>
    <col min="11015" max="11018" width="9.88671875" style="16" bestFit="1" customWidth="1"/>
    <col min="11019" max="11020" width="8.6640625" style="16" customWidth="1"/>
    <col min="11021" max="11021" width="10.6640625" style="16" customWidth="1"/>
    <col min="11022" max="11022" width="34.6640625" style="16" customWidth="1"/>
    <col min="11023" max="11024" width="11.33203125" style="16" customWidth="1"/>
    <col min="11025" max="11025" width="11.88671875" style="16" customWidth="1"/>
    <col min="11026" max="11028" width="11.33203125" style="16" customWidth="1"/>
    <col min="11029" max="11029" width="11.88671875" style="16" customWidth="1"/>
    <col min="11030" max="11264" width="9.109375" style="16"/>
    <col min="11265" max="11265" width="6.44140625" style="16" customWidth="1"/>
    <col min="11266" max="11266" width="30.6640625" style="16" customWidth="1"/>
    <col min="11267" max="11268" width="11.5546875" style="16" customWidth="1"/>
    <col min="11269" max="11270" width="8.6640625" style="16" customWidth="1"/>
    <col min="11271" max="11274" width="9.88671875" style="16" bestFit="1" customWidth="1"/>
    <col min="11275" max="11276" width="8.6640625" style="16" customWidth="1"/>
    <col min="11277" max="11277" width="10.6640625" style="16" customWidth="1"/>
    <col min="11278" max="11278" width="34.6640625" style="16" customWidth="1"/>
    <col min="11279" max="11280" width="11.33203125" style="16" customWidth="1"/>
    <col min="11281" max="11281" width="11.88671875" style="16" customWidth="1"/>
    <col min="11282" max="11284" width="11.33203125" style="16" customWidth="1"/>
    <col min="11285" max="11285" width="11.88671875" style="16" customWidth="1"/>
    <col min="11286" max="11520" width="9.109375" style="16"/>
    <col min="11521" max="11521" width="6.44140625" style="16" customWidth="1"/>
    <col min="11522" max="11522" width="30.6640625" style="16" customWidth="1"/>
    <col min="11523" max="11524" width="11.5546875" style="16" customWidth="1"/>
    <col min="11525" max="11526" width="8.6640625" style="16" customWidth="1"/>
    <col min="11527" max="11530" width="9.88671875" style="16" bestFit="1" customWidth="1"/>
    <col min="11531" max="11532" width="8.6640625" style="16" customWidth="1"/>
    <col min="11533" max="11533" width="10.6640625" style="16" customWidth="1"/>
    <col min="11534" max="11534" width="34.6640625" style="16" customWidth="1"/>
    <col min="11535" max="11536" width="11.33203125" style="16" customWidth="1"/>
    <col min="11537" max="11537" width="11.88671875" style="16" customWidth="1"/>
    <col min="11538" max="11540" width="11.33203125" style="16" customWidth="1"/>
    <col min="11541" max="11541" width="11.88671875" style="16" customWidth="1"/>
    <col min="11542" max="11776" width="9.109375" style="16"/>
    <col min="11777" max="11777" width="6.44140625" style="16" customWidth="1"/>
    <col min="11778" max="11778" width="30.6640625" style="16" customWidth="1"/>
    <col min="11779" max="11780" width="11.5546875" style="16" customWidth="1"/>
    <col min="11781" max="11782" width="8.6640625" style="16" customWidth="1"/>
    <col min="11783" max="11786" width="9.88671875" style="16" bestFit="1" customWidth="1"/>
    <col min="11787" max="11788" width="8.6640625" style="16" customWidth="1"/>
    <col min="11789" max="11789" width="10.6640625" style="16" customWidth="1"/>
    <col min="11790" max="11790" width="34.6640625" style="16" customWidth="1"/>
    <col min="11791" max="11792" width="11.33203125" style="16" customWidth="1"/>
    <col min="11793" max="11793" width="11.88671875" style="16" customWidth="1"/>
    <col min="11794" max="11796" width="11.33203125" style="16" customWidth="1"/>
    <col min="11797" max="11797" width="11.88671875" style="16" customWidth="1"/>
    <col min="11798" max="12032" width="9.109375" style="16"/>
    <col min="12033" max="12033" width="6.44140625" style="16" customWidth="1"/>
    <col min="12034" max="12034" width="30.6640625" style="16" customWidth="1"/>
    <col min="12035" max="12036" width="11.5546875" style="16" customWidth="1"/>
    <col min="12037" max="12038" width="8.6640625" style="16" customWidth="1"/>
    <col min="12039" max="12042" width="9.88671875" style="16" bestFit="1" customWidth="1"/>
    <col min="12043" max="12044" width="8.6640625" style="16" customWidth="1"/>
    <col min="12045" max="12045" width="10.6640625" style="16" customWidth="1"/>
    <col min="12046" max="12046" width="34.6640625" style="16" customWidth="1"/>
    <col min="12047" max="12048" width="11.33203125" style="16" customWidth="1"/>
    <col min="12049" max="12049" width="11.88671875" style="16" customWidth="1"/>
    <col min="12050" max="12052" width="11.33203125" style="16" customWidth="1"/>
    <col min="12053" max="12053" width="11.88671875" style="16" customWidth="1"/>
    <col min="12054" max="12288" width="9.109375" style="16"/>
    <col min="12289" max="12289" width="6.44140625" style="16" customWidth="1"/>
    <col min="12290" max="12290" width="30.6640625" style="16" customWidth="1"/>
    <col min="12291" max="12292" width="11.5546875" style="16" customWidth="1"/>
    <col min="12293" max="12294" width="8.6640625" style="16" customWidth="1"/>
    <col min="12295" max="12298" width="9.88671875" style="16" bestFit="1" customWidth="1"/>
    <col min="12299" max="12300" width="8.6640625" style="16" customWidth="1"/>
    <col min="12301" max="12301" width="10.6640625" style="16" customWidth="1"/>
    <col min="12302" max="12302" width="34.6640625" style="16" customWidth="1"/>
    <col min="12303" max="12304" width="11.33203125" style="16" customWidth="1"/>
    <col min="12305" max="12305" width="11.88671875" style="16" customWidth="1"/>
    <col min="12306" max="12308" width="11.33203125" style="16" customWidth="1"/>
    <col min="12309" max="12309" width="11.88671875" style="16" customWidth="1"/>
    <col min="12310" max="12544" width="9.109375" style="16"/>
    <col min="12545" max="12545" width="6.44140625" style="16" customWidth="1"/>
    <col min="12546" max="12546" width="30.6640625" style="16" customWidth="1"/>
    <col min="12547" max="12548" width="11.5546875" style="16" customWidth="1"/>
    <col min="12549" max="12550" width="8.6640625" style="16" customWidth="1"/>
    <col min="12551" max="12554" width="9.88671875" style="16" bestFit="1" customWidth="1"/>
    <col min="12555" max="12556" width="8.6640625" style="16" customWidth="1"/>
    <col min="12557" max="12557" width="10.6640625" style="16" customWidth="1"/>
    <col min="12558" max="12558" width="34.6640625" style="16" customWidth="1"/>
    <col min="12559" max="12560" width="11.33203125" style="16" customWidth="1"/>
    <col min="12561" max="12561" width="11.88671875" style="16" customWidth="1"/>
    <col min="12562" max="12564" width="11.33203125" style="16" customWidth="1"/>
    <col min="12565" max="12565" width="11.88671875" style="16" customWidth="1"/>
    <col min="12566" max="12800" width="9.109375" style="16"/>
    <col min="12801" max="12801" width="6.44140625" style="16" customWidth="1"/>
    <col min="12802" max="12802" width="30.6640625" style="16" customWidth="1"/>
    <col min="12803" max="12804" width="11.5546875" style="16" customWidth="1"/>
    <col min="12805" max="12806" width="8.6640625" style="16" customWidth="1"/>
    <col min="12807" max="12810" width="9.88671875" style="16" bestFit="1" customWidth="1"/>
    <col min="12811" max="12812" width="8.6640625" style="16" customWidth="1"/>
    <col min="12813" max="12813" width="10.6640625" style="16" customWidth="1"/>
    <col min="12814" max="12814" width="34.6640625" style="16" customWidth="1"/>
    <col min="12815" max="12816" width="11.33203125" style="16" customWidth="1"/>
    <col min="12817" max="12817" width="11.88671875" style="16" customWidth="1"/>
    <col min="12818" max="12820" width="11.33203125" style="16" customWidth="1"/>
    <col min="12821" max="12821" width="11.88671875" style="16" customWidth="1"/>
    <col min="12822" max="13056" width="9.109375" style="16"/>
    <col min="13057" max="13057" width="6.44140625" style="16" customWidth="1"/>
    <col min="13058" max="13058" width="30.6640625" style="16" customWidth="1"/>
    <col min="13059" max="13060" width="11.5546875" style="16" customWidth="1"/>
    <col min="13061" max="13062" width="8.6640625" style="16" customWidth="1"/>
    <col min="13063" max="13066" width="9.88671875" style="16" bestFit="1" customWidth="1"/>
    <col min="13067" max="13068" width="8.6640625" style="16" customWidth="1"/>
    <col min="13069" max="13069" width="10.6640625" style="16" customWidth="1"/>
    <col min="13070" max="13070" width="34.6640625" style="16" customWidth="1"/>
    <col min="13071" max="13072" width="11.33203125" style="16" customWidth="1"/>
    <col min="13073" max="13073" width="11.88671875" style="16" customWidth="1"/>
    <col min="13074" max="13076" width="11.33203125" style="16" customWidth="1"/>
    <col min="13077" max="13077" width="11.88671875" style="16" customWidth="1"/>
    <col min="13078" max="13312" width="9.109375" style="16"/>
    <col min="13313" max="13313" width="6.44140625" style="16" customWidth="1"/>
    <col min="13314" max="13314" width="30.6640625" style="16" customWidth="1"/>
    <col min="13315" max="13316" width="11.5546875" style="16" customWidth="1"/>
    <col min="13317" max="13318" width="8.6640625" style="16" customWidth="1"/>
    <col min="13319" max="13322" width="9.88671875" style="16" bestFit="1" customWidth="1"/>
    <col min="13323" max="13324" width="8.6640625" style="16" customWidth="1"/>
    <col min="13325" max="13325" width="10.6640625" style="16" customWidth="1"/>
    <col min="13326" max="13326" width="34.6640625" style="16" customWidth="1"/>
    <col min="13327" max="13328" width="11.33203125" style="16" customWidth="1"/>
    <col min="13329" max="13329" width="11.88671875" style="16" customWidth="1"/>
    <col min="13330" max="13332" width="11.33203125" style="16" customWidth="1"/>
    <col min="13333" max="13333" width="11.88671875" style="16" customWidth="1"/>
    <col min="13334" max="13568" width="9.109375" style="16"/>
    <col min="13569" max="13569" width="6.44140625" style="16" customWidth="1"/>
    <col min="13570" max="13570" width="30.6640625" style="16" customWidth="1"/>
    <col min="13571" max="13572" width="11.5546875" style="16" customWidth="1"/>
    <col min="13573" max="13574" width="8.6640625" style="16" customWidth="1"/>
    <col min="13575" max="13578" width="9.88671875" style="16" bestFit="1" customWidth="1"/>
    <col min="13579" max="13580" width="8.6640625" style="16" customWidth="1"/>
    <col min="13581" max="13581" width="10.6640625" style="16" customWidth="1"/>
    <col min="13582" max="13582" width="34.6640625" style="16" customWidth="1"/>
    <col min="13583" max="13584" width="11.33203125" style="16" customWidth="1"/>
    <col min="13585" max="13585" width="11.88671875" style="16" customWidth="1"/>
    <col min="13586" max="13588" width="11.33203125" style="16" customWidth="1"/>
    <col min="13589" max="13589" width="11.88671875" style="16" customWidth="1"/>
    <col min="13590" max="13824" width="9.109375" style="16"/>
    <col min="13825" max="13825" width="6.44140625" style="16" customWidth="1"/>
    <col min="13826" max="13826" width="30.6640625" style="16" customWidth="1"/>
    <col min="13827" max="13828" width="11.5546875" style="16" customWidth="1"/>
    <col min="13829" max="13830" width="8.6640625" style="16" customWidth="1"/>
    <col min="13831" max="13834" width="9.88671875" style="16" bestFit="1" customWidth="1"/>
    <col min="13835" max="13836" width="8.6640625" style="16" customWidth="1"/>
    <col min="13837" max="13837" width="10.6640625" style="16" customWidth="1"/>
    <col min="13838" max="13838" width="34.6640625" style="16" customWidth="1"/>
    <col min="13839" max="13840" width="11.33203125" style="16" customWidth="1"/>
    <col min="13841" max="13841" width="11.88671875" style="16" customWidth="1"/>
    <col min="13842" max="13844" width="11.33203125" style="16" customWidth="1"/>
    <col min="13845" max="13845" width="11.88671875" style="16" customWidth="1"/>
    <col min="13846" max="14080" width="9.109375" style="16"/>
    <col min="14081" max="14081" width="6.44140625" style="16" customWidth="1"/>
    <col min="14082" max="14082" width="30.6640625" style="16" customWidth="1"/>
    <col min="14083" max="14084" width="11.5546875" style="16" customWidth="1"/>
    <col min="14085" max="14086" width="8.6640625" style="16" customWidth="1"/>
    <col min="14087" max="14090" width="9.88671875" style="16" bestFit="1" customWidth="1"/>
    <col min="14091" max="14092" width="8.6640625" style="16" customWidth="1"/>
    <col min="14093" max="14093" width="10.6640625" style="16" customWidth="1"/>
    <col min="14094" max="14094" width="34.6640625" style="16" customWidth="1"/>
    <col min="14095" max="14096" width="11.33203125" style="16" customWidth="1"/>
    <col min="14097" max="14097" width="11.88671875" style="16" customWidth="1"/>
    <col min="14098" max="14100" width="11.33203125" style="16" customWidth="1"/>
    <col min="14101" max="14101" width="11.88671875" style="16" customWidth="1"/>
    <col min="14102" max="14336" width="9.109375" style="16"/>
    <col min="14337" max="14337" width="6.44140625" style="16" customWidth="1"/>
    <col min="14338" max="14338" width="30.6640625" style="16" customWidth="1"/>
    <col min="14339" max="14340" width="11.5546875" style="16" customWidth="1"/>
    <col min="14341" max="14342" width="8.6640625" style="16" customWidth="1"/>
    <col min="14343" max="14346" width="9.88671875" style="16" bestFit="1" customWidth="1"/>
    <col min="14347" max="14348" width="8.6640625" style="16" customWidth="1"/>
    <col min="14349" max="14349" width="10.6640625" style="16" customWidth="1"/>
    <col min="14350" max="14350" width="34.6640625" style="16" customWidth="1"/>
    <col min="14351" max="14352" width="11.33203125" style="16" customWidth="1"/>
    <col min="14353" max="14353" width="11.88671875" style="16" customWidth="1"/>
    <col min="14354" max="14356" width="11.33203125" style="16" customWidth="1"/>
    <col min="14357" max="14357" width="11.88671875" style="16" customWidth="1"/>
    <col min="14358" max="14592" width="9.109375" style="16"/>
    <col min="14593" max="14593" width="6.44140625" style="16" customWidth="1"/>
    <col min="14594" max="14594" width="30.6640625" style="16" customWidth="1"/>
    <col min="14595" max="14596" width="11.5546875" style="16" customWidth="1"/>
    <col min="14597" max="14598" width="8.6640625" style="16" customWidth="1"/>
    <col min="14599" max="14602" width="9.88671875" style="16" bestFit="1" customWidth="1"/>
    <col min="14603" max="14604" width="8.6640625" style="16" customWidth="1"/>
    <col min="14605" max="14605" width="10.6640625" style="16" customWidth="1"/>
    <col min="14606" max="14606" width="34.6640625" style="16" customWidth="1"/>
    <col min="14607" max="14608" width="11.33203125" style="16" customWidth="1"/>
    <col min="14609" max="14609" width="11.88671875" style="16" customWidth="1"/>
    <col min="14610" max="14612" width="11.33203125" style="16" customWidth="1"/>
    <col min="14613" max="14613" width="11.88671875" style="16" customWidth="1"/>
    <col min="14614" max="14848" width="9.109375" style="16"/>
    <col min="14849" max="14849" width="6.44140625" style="16" customWidth="1"/>
    <col min="14850" max="14850" width="30.6640625" style="16" customWidth="1"/>
    <col min="14851" max="14852" width="11.5546875" style="16" customWidth="1"/>
    <col min="14853" max="14854" width="8.6640625" style="16" customWidth="1"/>
    <col min="14855" max="14858" width="9.88671875" style="16" bestFit="1" customWidth="1"/>
    <col min="14859" max="14860" width="8.6640625" style="16" customWidth="1"/>
    <col min="14861" max="14861" width="10.6640625" style="16" customWidth="1"/>
    <col min="14862" max="14862" width="34.6640625" style="16" customWidth="1"/>
    <col min="14863" max="14864" width="11.33203125" style="16" customWidth="1"/>
    <col min="14865" max="14865" width="11.88671875" style="16" customWidth="1"/>
    <col min="14866" max="14868" width="11.33203125" style="16" customWidth="1"/>
    <col min="14869" max="14869" width="11.88671875" style="16" customWidth="1"/>
    <col min="14870" max="15104" width="9.109375" style="16"/>
    <col min="15105" max="15105" width="6.44140625" style="16" customWidth="1"/>
    <col min="15106" max="15106" width="30.6640625" style="16" customWidth="1"/>
    <col min="15107" max="15108" width="11.5546875" style="16" customWidth="1"/>
    <col min="15109" max="15110" width="8.6640625" style="16" customWidth="1"/>
    <col min="15111" max="15114" width="9.88671875" style="16" bestFit="1" customWidth="1"/>
    <col min="15115" max="15116" width="8.6640625" style="16" customWidth="1"/>
    <col min="15117" max="15117" width="10.6640625" style="16" customWidth="1"/>
    <col min="15118" max="15118" width="34.6640625" style="16" customWidth="1"/>
    <col min="15119" max="15120" width="11.33203125" style="16" customWidth="1"/>
    <col min="15121" max="15121" width="11.88671875" style="16" customWidth="1"/>
    <col min="15122" max="15124" width="11.33203125" style="16" customWidth="1"/>
    <col min="15125" max="15125" width="11.88671875" style="16" customWidth="1"/>
    <col min="15126" max="15360" width="9.109375" style="16"/>
    <col min="15361" max="15361" width="6.44140625" style="16" customWidth="1"/>
    <col min="15362" max="15362" width="30.6640625" style="16" customWidth="1"/>
    <col min="15363" max="15364" width="11.5546875" style="16" customWidth="1"/>
    <col min="15365" max="15366" width="8.6640625" style="16" customWidth="1"/>
    <col min="15367" max="15370" width="9.88671875" style="16" bestFit="1" customWidth="1"/>
    <col min="15371" max="15372" width="8.6640625" style="16" customWidth="1"/>
    <col min="15373" max="15373" width="10.6640625" style="16" customWidth="1"/>
    <col min="15374" max="15374" width="34.6640625" style="16" customWidth="1"/>
    <col min="15375" max="15376" width="11.33203125" style="16" customWidth="1"/>
    <col min="15377" max="15377" width="11.88671875" style="16" customWidth="1"/>
    <col min="15378" max="15380" width="11.33203125" style="16" customWidth="1"/>
    <col min="15381" max="15381" width="11.88671875" style="16" customWidth="1"/>
    <col min="15382" max="15616" width="9.109375" style="16"/>
    <col min="15617" max="15617" width="6.44140625" style="16" customWidth="1"/>
    <col min="15618" max="15618" width="30.6640625" style="16" customWidth="1"/>
    <col min="15619" max="15620" width="11.5546875" style="16" customWidth="1"/>
    <col min="15621" max="15622" width="8.6640625" style="16" customWidth="1"/>
    <col min="15623" max="15626" width="9.88671875" style="16" bestFit="1" customWidth="1"/>
    <col min="15627" max="15628" width="8.6640625" style="16" customWidth="1"/>
    <col min="15629" max="15629" width="10.6640625" style="16" customWidth="1"/>
    <col min="15630" max="15630" width="34.6640625" style="16" customWidth="1"/>
    <col min="15631" max="15632" width="11.33203125" style="16" customWidth="1"/>
    <col min="15633" max="15633" width="11.88671875" style="16" customWidth="1"/>
    <col min="15634" max="15636" width="11.33203125" style="16" customWidth="1"/>
    <col min="15637" max="15637" width="11.88671875" style="16" customWidth="1"/>
    <col min="15638" max="15872" width="9.109375" style="16"/>
    <col min="15873" max="15873" width="6.44140625" style="16" customWidth="1"/>
    <col min="15874" max="15874" width="30.6640625" style="16" customWidth="1"/>
    <col min="15875" max="15876" width="11.5546875" style="16" customWidth="1"/>
    <col min="15877" max="15878" width="8.6640625" style="16" customWidth="1"/>
    <col min="15879" max="15882" width="9.88671875" style="16" bestFit="1" customWidth="1"/>
    <col min="15883" max="15884" width="8.6640625" style="16" customWidth="1"/>
    <col min="15885" max="15885" width="10.6640625" style="16" customWidth="1"/>
    <col min="15886" max="15886" width="34.6640625" style="16" customWidth="1"/>
    <col min="15887" max="15888" width="11.33203125" style="16" customWidth="1"/>
    <col min="15889" max="15889" width="11.88671875" style="16" customWidth="1"/>
    <col min="15890" max="15892" width="11.33203125" style="16" customWidth="1"/>
    <col min="15893" max="15893" width="11.88671875" style="16" customWidth="1"/>
    <col min="15894" max="16128" width="9.109375" style="16"/>
    <col min="16129" max="16129" width="6.44140625" style="16" customWidth="1"/>
    <col min="16130" max="16130" width="30.6640625" style="16" customWidth="1"/>
    <col min="16131" max="16132" width="11.5546875" style="16" customWidth="1"/>
    <col min="16133" max="16134" width="8.6640625" style="16" customWidth="1"/>
    <col min="16135" max="16138" width="9.88671875" style="16" bestFit="1" customWidth="1"/>
    <col min="16139" max="16140" width="8.6640625" style="16" customWidth="1"/>
    <col min="16141" max="16141" width="10.6640625" style="16" customWidth="1"/>
    <col min="16142" max="16142" width="34.6640625" style="16" customWidth="1"/>
    <col min="16143" max="16144" width="11.33203125" style="16" customWidth="1"/>
    <col min="16145" max="16145" width="11.88671875" style="16" customWidth="1"/>
    <col min="16146" max="16148" width="11.33203125" style="16" customWidth="1"/>
    <col min="16149" max="16149" width="11.88671875" style="16" customWidth="1"/>
    <col min="16150" max="16384" width="9.109375" style="16"/>
  </cols>
  <sheetData>
    <row r="1" spans="1:21" ht="13.8" x14ac:dyDescent="0.25">
      <c r="A1" s="167"/>
      <c r="B1" s="167"/>
      <c r="C1" s="167"/>
      <c r="D1" s="167"/>
      <c r="E1" s="167"/>
      <c r="F1" s="167"/>
      <c r="G1" s="167"/>
      <c r="H1" s="167"/>
      <c r="I1" s="167"/>
      <c r="J1" s="167"/>
      <c r="K1" s="167"/>
      <c r="L1" s="167"/>
      <c r="M1" s="105" t="s">
        <v>1033</v>
      </c>
    </row>
    <row r="2" spans="1:21" ht="12.75" customHeight="1" x14ac:dyDescent="0.25">
      <c r="A2" s="21"/>
      <c r="B2" s="21"/>
      <c r="C2" s="21"/>
      <c r="D2" s="21"/>
      <c r="E2" s="21"/>
      <c r="F2" s="21"/>
      <c r="G2" s="21"/>
      <c r="H2" s="21"/>
      <c r="I2" s="21"/>
      <c r="J2" s="21"/>
      <c r="K2" s="21"/>
      <c r="L2" s="21"/>
      <c r="M2" s="168"/>
    </row>
    <row r="3" spans="1:21" ht="12.75" customHeight="1" x14ac:dyDescent="0.25">
      <c r="A3" s="165"/>
      <c r="B3" s="18"/>
      <c r="C3" s="165"/>
      <c r="D3" s="165"/>
      <c r="E3" s="165"/>
      <c r="F3" s="165"/>
      <c r="G3" s="165"/>
      <c r="H3" s="165"/>
      <c r="I3" s="165"/>
      <c r="J3" s="165"/>
      <c r="K3" s="165"/>
      <c r="L3" s="165"/>
      <c r="M3" s="165"/>
    </row>
    <row r="4" spans="1:21" ht="12.75" customHeight="1" x14ac:dyDescent="0.25">
      <c r="A4" s="379" t="s">
        <v>180</v>
      </c>
      <c r="B4" s="379"/>
      <c r="C4" s="379"/>
      <c r="D4" s="379"/>
      <c r="E4" s="379"/>
      <c r="F4" s="379"/>
      <c r="G4" s="379"/>
      <c r="H4" s="379"/>
      <c r="I4" s="379"/>
      <c r="J4" s="379"/>
      <c r="K4" s="379"/>
      <c r="L4" s="379"/>
      <c r="M4" s="379"/>
    </row>
    <row r="5" spans="1:21" ht="12.75" customHeight="1" x14ac:dyDescent="0.25">
      <c r="A5" s="165"/>
      <c r="B5" s="18"/>
      <c r="C5" s="165"/>
      <c r="D5" s="165"/>
      <c r="E5" s="165"/>
      <c r="F5" s="165"/>
      <c r="G5" s="165"/>
      <c r="H5" s="165"/>
      <c r="I5" s="165"/>
      <c r="J5" s="165"/>
      <c r="K5" s="165"/>
      <c r="L5" s="165"/>
      <c r="M5" s="165"/>
      <c r="U5" s="19"/>
    </row>
    <row r="6" spans="1:21" ht="12.75" customHeight="1" x14ac:dyDescent="0.25">
      <c r="A6" s="169"/>
      <c r="K6" s="21"/>
      <c r="N6" s="17"/>
      <c r="T6" s="16"/>
    </row>
    <row r="7" spans="1:21" ht="12.75" customHeight="1" x14ac:dyDescent="0.25">
      <c r="A7" s="379" t="s">
        <v>181</v>
      </c>
      <c r="B7" s="379"/>
      <c r="C7" s="379"/>
      <c r="D7" s="379"/>
      <c r="E7" s="379"/>
      <c r="F7" s="379"/>
      <c r="G7" s="379"/>
      <c r="H7" s="379"/>
      <c r="I7" s="379"/>
      <c r="J7" s="379"/>
      <c r="K7" s="379"/>
      <c r="L7" s="379"/>
      <c r="M7" s="379"/>
    </row>
    <row r="8" spans="1:21" ht="12.75" customHeight="1" x14ac:dyDescent="0.25">
      <c r="A8" s="165"/>
      <c r="B8" s="165"/>
      <c r="C8" s="165"/>
      <c r="D8" s="165"/>
      <c r="E8" s="165"/>
      <c r="F8" s="165"/>
      <c r="G8" s="165"/>
      <c r="H8" s="165"/>
      <c r="I8" s="165"/>
      <c r="J8" s="165"/>
      <c r="K8" s="165"/>
      <c r="L8" s="165"/>
      <c r="M8" s="22" t="s">
        <v>151</v>
      </c>
    </row>
    <row r="9" spans="1:21" ht="12.75" customHeight="1" x14ac:dyDescent="0.25">
      <c r="A9" s="380" t="s">
        <v>182</v>
      </c>
      <c r="B9" s="381" t="s">
        <v>183</v>
      </c>
      <c r="C9" s="381" t="s">
        <v>863</v>
      </c>
      <c r="D9" s="381" t="s">
        <v>184</v>
      </c>
      <c r="E9" s="382" t="s">
        <v>193</v>
      </c>
      <c r="F9" s="382"/>
      <c r="G9" s="382"/>
      <c r="H9" s="382"/>
      <c r="I9" s="382"/>
      <c r="J9" s="382"/>
      <c r="K9" s="382"/>
      <c r="L9" s="382"/>
      <c r="M9" s="170"/>
    </row>
    <row r="10" spans="1:21" ht="35.25" customHeight="1" x14ac:dyDescent="0.25">
      <c r="A10" s="380"/>
      <c r="B10" s="381"/>
      <c r="C10" s="381"/>
      <c r="D10" s="381"/>
      <c r="E10" s="171" t="s">
        <v>186</v>
      </c>
      <c r="F10" s="171" t="s">
        <v>187</v>
      </c>
      <c r="G10" s="172" t="s">
        <v>188</v>
      </c>
      <c r="H10" s="171" t="s">
        <v>196</v>
      </c>
      <c r="I10" s="172" t="s">
        <v>516</v>
      </c>
      <c r="J10" s="172" t="s">
        <v>600</v>
      </c>
      <c r="K10" s="171" t="s">
        <v>601</v>
      </c>
      <c r="L10" s="171" t="s">
        <v>864</v>
      </c>
      <c r="M10" s="173" t="s">
        <v>155</v>
      </c>
      <c r="O10" s="16"/>
      <c r="P10" s="16"/>
      <c r="Q10" s="16"/>
      <c r="R10" s="16"/>
      <c r="S10" s="16"/>
      <c r="T10" s="16"/>
    </row>
    <row r="11" spans="1:21" x14ac:dyDescent="0.25">
      <c r="A11" s="174" t="s">
        <v>189</v>
      </c>
      <c r="B11" s="175"/>
      <c r="C11" s="176"/>
      <c r="D11" s="176"/>
      <c r="E11" s="176"/>
      <c r="F11" s="176"/>
      <c r="G11" s="177"/>
      <c r="H11" s="177"/>
      <c r="I11" s="177"/>
      <c r="J11" s="177"/>
      <c r="K11" s="178"/>
      <c r="L11" s="177"/>
      <c r="M11" s="176">
        <f>SUM(E11:L11)</f>
        <v>0</v>
      </c>
      <c r="O11" s="16"/>
      <c r="P11" s="16"/>
      <c r="Q11" s="16"/>
      <c r="R11" s="16"/>
      <c r="S11" s="16"/>
      <c r="T11" s="16"/>
    </row>
    <row r="12" spans="1:21" x14ac:dyDescent="0.25">
      <c r="A12" s="179" t="s">
        <v>190</v>
      </c>
      <c r="B12" s="180"/>
      <c r="C12" s="181"/>
      <c r="D12" s="181"/>
      <c r="E12" s="181"/>
      <c r="F12" s="181"/>
      <c r="G12" s="182"/>
      <c r="H12" s="182"/>
      <c r="I12" s="182"/>
      <c r="J12" s="182"/>
      <c r="K12" s="183"/>
      <c r="L12" s="182"/>
      <c r="M12" s="181">
        <f>SUM(E12:L12)</f>
        <v>0</v>
      </c>
      <c r="O12" s="16"/>
      <c r="P12" s="16"/>
      <c r="Q12" s="16"/>
      <c r="R12" s="16"/>
      <c r="S12" s="16"/>
      <c r="T12" s="16"/>
    </row>
    <row r="13" spans="1:21" x14ac:dyDescent="0.25">
      <c r="A13" s="179" t="s">
        <v>191</v>
      </c>
      <c r="B13" s="180"/>
      <c r="C13" s="181"/>
      <c r="D13" s="181"/>
      <c r="E13" s="181"/>
      <c r="F13" s="181"/>
      <c r="G13" s="182"/>
      <c r="H13" s="182"/>
      <c r="I13" s="182"/>
      <c r="J13" s="182"/>
      <c r="K13" s="183"/>
      <c r="L13" s="182"/>
      <c r="M13" s="181">
        <f>SUM(E13:L13)</f>
        <v>0</v>
      </c>
      <c r="O13" s="16"/>
      <c r="P13" s="16"/>
      <c r="Q13" s="16"/>
      <c r="R13" s="16"/>
      <c r="S13" s="16"/>
      <c r="T13" s="16"/>
    </row>
    <row r="14" spans="1:21" x14ac:dyDescent="0.25">
      <c r="A14" s="182"/>
      <c r="B14" s="184" t="s">
        <v>24</v>
      </c>
      <c r="C14" s="183">
        <f>SUM(C11:C13)</f>
        <v>0</v>
      </c>
      <c r="D14" s="183"/>
      <c r="E14" s="183">
        <f t="shared" ref="E14:M14" si="0">SUM(E11:E13)</f>
        <v>0</v>
      </c>
      <c r="F14" s="183">
        <f t="shared" si="0"/>
        <v>0</v>
      </c>
      <c r="G14" s="183">
        <f t="shared" si="0"/>
        <v>0</v>
      </c>
      <c r="H14" s="183">
        <f t="shared" si="0"/>
        <v>0</v>
      </c>
      <c r="I14" s="183">
        <f t="shared" si="0"/>
        <v>0</v>
      </c>
      <c r="J14" s="183">
        <f t="shared" si="0"/>
        <v>0</v>
      </c>
      <c r="K14" s="183">
        <f t="shared" si="0"/>
        <v>0</v>
      </c>
      <c r="L14" s="183">
        <f t="shared" si="0"/>
        <v>0</v>
      </c>
      <c r="M14" s="183">
        <f t="shared" si="0"/>
        <v>0</v>
      </c>
      <c r="O14" s="16"/>
      <c r="P14" s="16"/>
      <c r="Q14" s="16"/>
      <c r="R14" s="16"/>
      <c r="S14" s="16"/>
      <c r="T14" s="16"/>
    </row>
    <row r="15" spans="1:21" x14ac:dyDescent="0.25">
      <c r="B15" s="185"/>
      <c r="C15" s="186"/>
      <c r="D15" s="186"/>
      <c r="E15" s="186"/>
      <c r="F15" s="186"/>
      <c r="G15" s="186"/>
      <c r="H15" s="186"/>
      <c r="I15" s="186"/>
      <c r="J15" s="186"/>
      <c r="K15" s="186"/>
      <c r="L15" s="186"/>
      <c r="M15" s="186"/>
      <c r="O15" s="16"/>
      <c r="P15" s="16"/>
      <c r="Q15" s="16"/>
      <c r="R15" s="16"/>
      <c r="S15" s="16"/>
      <c r="T15" s="16"/>
    </row>
    <row r="16" spans="1:21" ht="12.75" customHeight="1" x14ac:dyDescent="0.25">
      <c r="A16" s="379" t="s">
        <v>192</v>
      </c>
      <c r="B16" s="379"/>
      <c r="C16" s="379"/>
      <c r="D16" s="379"/>
      <c r="E16" s="379"/>
      <c r="F16" s="379"/>
      <c r="G16" s="379"/>
      <c r="H16" s="379"/>
      <c r="I16" s="379"/>
      <c r="J16" s="379"/>
      <c r="K16" s="379"/>
      <c r="L16" s="379"/>
      <c r="M16" s="379"/>
    </row>
    <row r="17" spans="1:20" ht="12.75" customHeight="1" x14ac:dyDescent="0.25">
      <c r="L17" s="21"/>
      <c r="M17" s="22" t="s">
        <v>151</v>
      </c>
    </row>
    <row r="18" spans="1:20" ht="12.75" customHeight="1" x14ac:dyDescent="0.25">
      <c r="A18" s="383" t="s">
        <v>182</v>
      </c>
      <c r="B18" s="385" t="s">
        <v>183</v>
      </c>
      <c r="C18" s="385" t="s">
        <v>863</v>
      </c>
      <c r="D18" s="385" t="s">
        <v>184</v>
      </c>
      <c r="E18" s="382" t="s">
        <v>193</v>
      </c>
      <c r="F18" s="382"/>
      <c r="G18" s="382"/>
      <c r="H18" s="382"/>
      <c r="I18" s="382"/>
      <c r="J18" s="382"/>
      <c r="K18" s="382"/>
      <c r="L18" s="382"/>
      <c r="M18" s="387" t="s">
        <v>239</v>
      </c>
    </row>
    <row r="19" spans="1:20" ht="35.25" customHeight="1" x14ac:dyDescent="0.25">
      <c r="A19" s="384"/>
      <c r="B19" s="386"/>
      <c r="C19" s="386"/>
      <c r="D19" s="386"/>
      <c r="E19" s="171" t="s">
        <v>186</v>
      </c>
      <c r="F19" s="171" t="s">
        <v>187</v>
      </c>
      <c r="G19" s="172" t="s">
        <v>188</v>
      </c>
      <c r="H19" s="171" t="s">
        <v>196</v>
      </c>
      <c r="I19" s="172" t="s">
        <v>516</v>
      </c>
      <c r="J19" s="172" t="s">
        <v>600</v>
      </c>
      <c r="K19" s="171" t="s">
        <v>601</v>
      </c>
      <c r="L19" s="171" t="s">
        <v>864</v>
      </c>
      <c r="M19" s="388"/>
      <c r="O19" s="16"/>
      <c r="P19" s="16"/>
      <c r="Q19" s="16"/>
      <c r="R19" s="16"/>
      <c r="S19" s="16"/>
      <c r="T19" s="16"/>
    </row>
    <row r="20" spans="1:20" ht="26.4" x14ac:dyDescent="0.25">
      <c r="A20" s="179" t="s">
        <v>189</v>
      </c>
      <c r="B20" s="180" t="s">
        <v>195</v>
      </c>
      <c r="C20" s="181">
        <v>184722224</v>
      </c>
      <c r="D20" s="181">
        <v>0</v>
      </c>
      <c r="E20" s="181">
        <v>26388888</v>
      </c>
      <c r="F20" s="181">
        <v>26388888</v>
      </c>
      <c r="G20" s="181">
        <v>26388888</v>
      </c>
      <c r="H20" s="181">
        <v>26388888</v>
      </c>
      <c r="I20" s="181">
        <v>26388888</v>
      </c>
      <c r="J20" s="181">
        <v>26388888</v>
      </c>
      <c r="K20" s="181">
        <v>26388896</v>
      </c>
      <c r="L20" s="181">
        <v>0</v>
      </c>
      <c r="M20" s="187">
        <f t="shared" ref="M20:M23" si="1">SUM(E20:L20)</f>
        <v>184722224</v>
      </c>
      <c r="O20" s="16"/>
      <c r="P20" s="16"/>
      <c r="Q20" s="16"/>
      <c r="R20" s="16"/>
      <c r="S20" s="16"/>
      <c r="T20" s="16"/>
    </row>
    <row r="21" spans="1:20" ht="12.75" customHeight="1" x14ac:dyDescent="0.25">
      <c r="A21" s="179" t="s">
        <v>190</v>
      </c>
      <c r="B21" s="180"/>
      <c r="C21" s="181"/>
      <c r="D21" s="181"/>
      <c r="E21" s="181"/>
      <c r="F21" s="188"/>
      <c r="G21" s="188"/>
      <c r="H21" s="181"/>
      <c r="I21" s="181"/>
      <c r="J21" s="181"/>
      <c r="K21" s="181"/>
      <c r="L21" s="181"/>
      <c r="M21" s="187">
        <f t="shared" si="1"/>
        <v>0</v>
      </c>
      <c r="O21" s="16"/>
      <c r="P21" s="16"/>
      <c r="Q21" s="16"/>
      <c r="R21" s="16"/>
      <c r="S21" s="16"/>
      <c r="T21" s="16"/>
    </row>
    <row r="22" spans="1:20" ht="12.75" customHeight="1" x14ac:dyDescent="0.25">
      <c r="A22" s="179" t="s">
        <v>191</v>
      </c>
      <c r="B22" s="180"/>
      <c r="C22" s="181"/>
      <c r="D22" s="181"/>
      <c r="E22" s="181"/>
      <c r="F22" s="188"/>
      <c r="G22" s="188"/>
      <c r="H22" s="181"/>
      <c r="I22" s="181"/>
      <c r="J22" s="181"/>
      <c r="K22" s="181"/>
      <c r="L22" s="181"/>
      <c r="M22" s="187">
        <f t="shared" si="1"/>
        <v>0</v>
      </c>
      <c r="O22" s="16"/>
      <c r="P22" s="16"/>
      <c r="Q22" s="16"/>
      <c r="R22" s="16"/>
      <c r="S22" s="16"/>
      <c r="T22" s="16"/>
    </row>
    <row r="23" spans="1:20" ht="12.75" customHeight="1" x14ac:dyDescent="0.25">
      <c r="A23" s="179" t="s">
        <v>194</v>
      </c>
      <c r="B23" s="180"/>
      <c r="C23" s="181"/>
      <c r="D23" s="181"/>
      <c r="E23" s="181"/>
      <c r="F23" s="188"/>
      <c r="G23" s="188"/>
      <c r="H23" s="181"/>
      <c r="I23" s="181"/>
      <c r="J23" s="181"/>
      <c r="K23" s="181"/>
      <c r="L23" s="181"/>
      <c r="M23" s="187">
        <f t="shared" si="1"/>
        <v>0</v>
      </c>
      <c r="O23" s="16"/>
      <c r="P23" s="16"/>
      <c r="Q23" s="16"/>
      <c r="R23" s="16"/>
      <c r="S23" s="16"/>
      <c r="T23" s="16"/>
    </row>
    <row r="24" spans="1:20" ht="12.75" customHeight="1" x14ac:dyDescent="0.25">
      <c r="A24" s="179"/>
      <c r="B24" s="184" t="s">
        <v>24</v>
      </c>
      <c r="C24" s="187">
        <f t="shared" ref="C24:M24" si="2">SUM(C20:C23)</f>
        <v>184722224</v>
      </c>
      <c r="D24" s="187">
        <f t="shared" si="2"/>
        <v>0</v>
      </c>
      <c r="E24" s="187">
        <f t="shared" si="2"/>
        <v>26388888</v>
      </c>
      <c r="F24" s="187">
        <f t="shared" si="2"/>
        <v>26388888</v>
      </c>
      <c r="G24" s="187">
        <f t="shared" si="2"/>
        <v>26388888</v>
      </c>
      <c r="H24" s="187">
        <f t="shared" si="2"/>
        <v>26388888</v>
      </c>
      <c r="I24" s="187">
        <f t="shared" si="2"/>
        <v>26388888</v>
      </c>
      <c r="J24" s="187">
        <f t="shared" si="2"/>
        <v>26388888</v>
      </c>
      <c r="K24" s="187">
        <f t="shared" si="2"/>
        <v>26388896</v>
      </c>
      <c r="L24" s="187">
        <f t="shared" si="2"/>
        <v>0</v>
      </c>
      <c r="M24" s="187">
        <f t="shared" si="2"/>
        <v>184722224</v>
      </c>
      <c r="O24" s="16"/>
      <c r="P24" s="16"/>
      <c r="Q24" s="16"/>
      <c r="R24" s="16"/>
      <c r="S24" s="16"/>
      <c r="T24" s="16"/>
    </row>
    <row r="27" spans="1:20" x14ac:dyDescent="0.25">
      <c r="F27" s="17"/>
      <c r="G27" s="17"/>
      <c r="H27" s="17"/>
    </row>
  </sheetData>
  <mergeCells count="14">
    <mergeCell ref="A16:M16"/>
    <mergeCell ref="A18:A19"/>
    <mergeCell ref="B18:B19"/>
    <mergeCell ref="C18:C19"/>
    <mergeCell ref="D18:D19"/>
    <mergeCell ref="E18:L18"/>
    <mergeCell ref="M18:M19"/>
    <mergeCell ref="A4:M4"/>
    <mergeCell ref="A7:M7"/>
    <mergeCell ref="A9:A10"/>
    <mergeCell ref="B9:B10"/>
    <mergeCell ref="C9:C10"/>
    <mergeCell ref="D9:D10"/>
    <mergeCell ref="E9:L9"/>
  </mergeCells>
  <printOptions horizontalCentered="1"/>
  <pageMargins left="0.19685039370078741" right="0.19685039370078741" top="0.5" bottom="0.19685039370078741" header="0.51181102362204722" footer="0.17"/>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0"/>
  <sheetViews>
    <sheetView view="pageBreakPreview" zoomScaleNormal="100" zoomScaleSheetLayoutView="100" workbookViewId="0">
      <selection sqref="A1:K1"/>
    </sheetView>
  </sheetViews>
  <sheetFormatPr defaultRowHeight="13.2" x14ac:dyDescent="0.25"/>
  <cols>
    <col min="1" max="1" width="2.44140625" style="29" customWidth="1"/>
    <col min="2" max="2" width="24.44140625" style="30" customWidth="1"/>
    <col min="3" max="3" width="15.44140625" style="29" customWidth="1"/>
    <col min="4" max="4" width="17.88671875" style="29" customWidth="1"/>
    <col min="5" max="5" width="14.109375" style="29" customWidth="1"/>
    <col min="6" max="6" width="14.44140625" style="31" customWidth="1"/>
    <col min="7" max="7" width="10.44140625" style="29" bestFit="1" customWidth="1"/>
    <col min="8" max="8" width="10.44140625" style="29" customWidth="1"/>
    <col min="9" max="9" width="10.109375" style="29" customWidth="1"/>
    <col min="10" max="10" width="10.5546875" style="29" customWidth="1"/>
    <col min="11" max="11" width="10.44140625" style="29" bestFit="1" customWidth="1"/>
    <col min="12" max="256" width="9.109375" style="29"/>
    <col min="257" max="257" width="2.44140625" style="29" customWidth="1"/>
    <col min="258" max="258" width="24.44140625" style="29" customWidth="1"/>
    <col min="259" max="259" width="15.44140625" style="29" customWidth="1"/>
    <col min="260" max="260" width="17.88671875" style="29" customWidth="1"/>
    <col min="261" max="261" width="14.109375" style="29" customWidth="1"/>
    <col min="262" max="262" width="14.44140625" style="29" customWidth="1"/>
    <col min="263" max="263" width="10.44140625" style="29" bestFit="1" customWidth="1"/>
    <col min="264" max="264" width="10.44140625" style="29" customWidth="1"/>
    <col min="265" max="265" width="10.109375" style="29" customWidth="1"/>
    <col min="266" max="266" width="10.5546875" style="29" customWidth="1"/>
    <col min="267" max="267" width="10.44140625" style="29" bestFit="1" customWidth="1"/>
    <col min="268" max="512" width="9.109375" style="29"/>
    <col min="513" max="513" width="2.44140625" style="29" customWidth="1"/>
    <col min="514" max="514" width="24.44140625" style="29" customWidth="1"/>
    <col min="515" max="515" width="15.44140625" style="29" customWidth="1"/>
    <col min="516" max="516" width="17.88671875" style="29" customWidth="1"/>
    <col min="517" max="517" width="14.109375" style="29" customWidth="1"/>
    <col min="518" max="518" width="14.44140625" style="29" customWidth="1"/>
    <col min="519" max="519" width="10.44140625" style="29" bestFit="1" customWidth="1"/>
    <col min="520" max="520" width="10.44140625" style="29" customWidth="1"/>
    <col min="521" max="521" width="10.109375" style="29" customWidth="1"/>
    <col min="522" max="522" width="10.5546875" style="29" customWidth="1"/>
    <col min="523" max="523" width="10.44140625" style="29" bestFit="1" customWidth="1"/>
    <col min="524" max="768" width="9.109375" style="29"/>
    <col min="769" max="769" width="2.44140625" style="29" customWidth="1"/>
    <col min="770" max="770" width="24.44140625" style="29" customWidth="1"/>
    <col min="771" max="771" width="15.44140625" style="29" customWidth="1"/>
    <col min="772" max="772" width="17.88671875" style="29" customWidth="1"/>
    <col min="773" max="773" width="14.109375" style="29" customWidth="1"/>
    <col min="774" max="774" width="14.44140625" style="29" customWidth="1"/>
    <col min="775" max="775" width="10.44140625" style="29" bestFit="1" customWidth="1"/>
    <col min="776" max="776" width="10.44140625" style="29" customWidth="1"/>
    <col min="777" max="777" width="10.109375" style="29" customWidth="1"/>
    <col min="778" max="778" width="10.5546875" style="29" customWidth="1"/>
    <col min="779" max="779" width="10.44140625" style="29" bestFit="1" customWidth="1"/>
    <col min="780" max="1024" width="9.109375" style="29"/>
    <col min="1025" max="1025" width="2.44140625" style="29" customWidth="1"/>
    <col min="1026" max="1026" width="24.44140625" style="29" customWidth="1"/>
    <col min="1027" max="1027" width="15.44140625" style="29" customWidth="1"/>
    <col min="1028" max="1028" width="17.88671875" style="29" customWidth="1"/>
    <col min="1029" max="1029" width="14.109375" style="29" customWidth="1"/>
    <col min="1030" max="1030" width="14.44140625" style="29" customWidth="1"/>
    <col min="1031" max="1031" width="10.44140625" style="29" bestFit="1" customWidth="1"/>
    <col min="1032" max="1032" width="10.44140625" style="29" customWidth="1"/>
    <col min="1033" max="1033" width="10.109375" style="29" customWidth="1"/>
    <col min="1034" max="1034" width="10.5546875" style="29" customWidth="1"/>
    <col min="1035" max="1035" width="10.44140625" style="29" bestFit="1" customWidth="1"/>
    <col min="1036" max="1280" width="9.109375" style="29"/>
    <col min="1281" max="1281" width="2.44140625" style="29" customWidth="1"/>
    <col min="1282" max="1282" width="24.44140625" style="29" customWidth="1"/>
    <col min="1283" max="1283" width="15.44140625" style="29" customWidth="1"/>
    <col min="1284" max="1284" width="17.88671875" style="29" customWidth="1"/>
    <col min="1285" max="1285" width="14.109375" style="29" customWidth="1"/>
    <col min="1286" max="1286" width="14.44140625" style="29" customWidth="1"/>
    <col min="1287" max="1287" width="10.44140625" style="29" bestFit="1" customWidth="1"/>
    <col min="1288" max="1288" width="10.44140625" style="29" customWidth="1"/>
    <col min="1289" max="1289" width="10.109375" style="29" customWidth="1"/>
    <col min="1290" max="1290" width="10.5546875" style="29" customWidth="1"/>
    <col min="1291" max="1291" width="10.44140625" style="29" bestFit="1" customWidth="1"/>
    <col min="1292" max="1536" width="9.109375" style="29"/>
    <col min="1537" max="1537" width="2.44140625" style="29" customWidth="1"/>
    <col min="1538" max="1538" width="24.44140625" style="29" customWidth="1"/>
    <col min="1539" max="1539" width="15.44140625" style="29" customWidth="1"/>
    <col min="1540" max="1540" width="17.88671875" style="29" customWidth="1"/>
    <col min="1541" max="1541" width="14.109375" style="29" customWidth="1"/>
    <col min="1542" max="1542" width="14.44140625" style="29" customWidth="1"/>
    <col min="1543" max="1543" width="10.44140625" style="29" bestFit="1" customWidth="1"/>
    <col min="1544" max="1544" width="10.44140625" style="29" customWidth="1"/>
    <col min="1545" max="1545" width="10.109375" style="29" customWidth="1"/>
    <col min="1546" max="1546" width="10.5546875" style="29" customWidth="1"/>
    <col min="1547" max="1547" width="10.44140625" style="29" bestFit="1" customWidth="1"/>
    <col min="1548" max="1792" width="9.109375" style="29"/>
    <col min="1793" max="1793" width="2.44140625" style="29" customWidth="1"/>
    <col min="1794" max="1794" width="24.44140625" style="29" customWidth="1"/>
    <col min="1795" max="1795" width="15.44140625" style="29" customWidth="1"/>
    <col min="1796" max="1796" width="17.88671875" style="29" customWidth="1"/>
    <col min="1797" max="1797" width="14.109375" style="29" customWidth="1"/>
    <col min="1798" max="1798" width="14.44140625" style="29" customWidth="1"/>
    <col min="1799" max="1799" width="10.44140625" style="29" bestFit="1" customWidth="1"/>
    <col min="1800" max="1800" width="10.44140625" style="29" customWidth="1"/>
    <col min="1801" max="1801" width="10.109375" style="29" customWidth="1"/>
    <col min="1802" max="1802" width="10.5546875" style="29" customWidth="1"/>
    <col min="1803" max="1803" width="10.44140625" style="29" bestFit="1" customWidth="1"/>
    <col min="1804" max="2048" width="9.109375" style="29"/>
    <col min="2049" max="2049" width="2.44140625" style="29" customWidth="1"/>
    <col min="2050" max="2050" width="24.44140625" style="29" customWidth="1"/>
    <col min="2051" max="2051" width="15.44140625" style="29" customWidth="1"/>
    <col min="2052" max="2052" width="17.88671875" style="29" customWidth="1"/>
    <col min="2053" max="2053" width="14.109375" style="29" customWidth="1"/>
    <col min="2054" max="2054" width="14.44140625" style="29" customWidth="1"/>
    <col min="2055" max="2055" width="10.44140625" style="29" bestFit="1" customWidth="1"/>
    <col min="2056" max="2056" width="10.44140625" style="29" customWidth="1"/>
    <col min="2057" max="2057" width="10.109375" style="29" customWidth="1"/>
    <col min="2058" max="2058" width="10.5546875" style="29" customWidth="1"/>
    <col min="2059" max="2059" width="10.44140625" style="29" bestFit="1" customWidth="1"/>
    <col min="2060" max="2304" width="9.109375" style="29"/>
    <col min="2305" max="2305" width="2.44140625" style="29" customWidth="1"/>
    <col min="2306" max="2306" width="24.44140625" style="29" customWidth="1"/>
    <col min="2307" max="2307" width="15.44140625" style="29" customWidth="1"/>
    <col min="2308" max="2308" width="17.88671875" style="29" customWidth="1"/>
    <col min="2309" max="2309" width="14.109375" style="29" customWidth="1"/>
    <col min="2310" max="2310" width="14.44140625" style="29" customWidth="1"/>
    <col min="2311" max="2311" width="10.44140625" style="29" bestFit="1" customWidth="1"/>
    <col min="2312" max="2312" width="10.44140625" style="29" customWidth="1"/>
    <col min="2313" max="2313" width="10.109375" style="29" customWidth="1"/>
    <col min="2314" max="2314" width="10.5546875" style="29" customWidth="1"/>
    <col min="2315" max="2315" width="10.44140625" style="29" bestFit="1" customWidth="1"/>
    <col min="2316" max="2560" width="9.109375" style="29"/>
    <col min="2561" max="2561" width="2.44140625" style="29" customWidth="1"/>
    <col min="2562" max="2562" width="24.44140625" style="29" customWidth="1"/>
    <col min="2563" max="2563" width="15.44140625" style="29" customWidth="1"/>
    <col min="2564" max="2564" width="17.88671875" style="29" customWidth="1"/>
    <col min="2565" max="2565" width="14.109375" style="29" customWidth="1"/>
    <col min="2566" max="2566" width="14.44140625" style="29" customWidth="1"/>
    <col min="2567" max="2567" width="10.44140625" style="29" bestFit="1" customWidth="1"/>
    <col min="2568" max="2568" width="10.44140625" style="29" customWidth="1"/>
    <col min="2569" max="2569" width="10.109375" style="29" customWidth="1"/>
    <col min="2570" max="2570" width="10.5546875" style="29" customWidth="1"/>
    <col min="2571" max="2571" width="10.44140625" style="29" bestFit="1" customWidth="1"/>
    <col min="2572" max="2816" width="9.109375" style="29"/>
    <col min="2817" max="2817" width="2.44140625" style="29" customWidth="1"/>
    <col min="2818" max="2818" width="24.44140625" style="29" customWidth="1"/>
    <col min="2819" max="2819" width="15.44140625" style="29" customWidth="1"/>
    <col min="2820" max="2820" width="17.88671875" style="29" customWidth="1"/>
    <col min="2821" max="2821" width="14.109375" style="29" customWidth="1"/>
    <col min="2822" max="2822" width="14.44140625" style="29" customWidth="1"/>
    <col min="2823" max="2823" width="10.44140625" style="29" bestFit="1" customWidth="1"/>
    <col min="2824" max="2824" width="10.44140625" style="29" customWidth="1"/>
    <col min="2825" max="2825" width="10.109375" style="29" customWidth="1"/>
    <col min="2826" max="2826" width="10.5546875" style="29" customWidth="1"/>
    <col min="2827" max="2827" width="10.44140625" style="29" bestFit="1" customWidth="1"/>
    <col min="2828" max="3072" width="9.109375" style="29"/>
    <col min="3073" max="3073" width="2.44140625" style="29" customWidth="1"/>
    <col min="3074" max="3074" width="24.44140625" style="29" customWidth="1"/>
    <col min="3075" max="3075" width="15.44140625" style="29" customWidth="1"/>
    <col min="3076" max="3076" width="17.88671875" style="29" customWidth="1"/>
    <col min="3077" max="3077" width="14.109375" style="29" customWidth="1"/>
    <col min="3078" max="3078" width="14.44140625" style="29" customWidth="1"/>
    <col min="3079" max="3079" width="10.44140625" style="29" bestFit="1" customWidth="1"/>
    <col min="3080" max="3080" width="10.44140625" style="29" customWidth="1"/>
    <col min="3081" max="3081" width="10.109375" style="29" customWidth="1"/>
    <col min="3082" max="3082" width="10.5546875" style="29" customWidth="1"/>
    <col min="3083" max="3083" width="10.44140625" style="29" bestFit="1" customWidth="1"/>
    <col min="3084" max="3328" width="9.109375" style="29"/>
    <col min="3329" max="3329" width="2.44140625" style="29" customWidth="1"/>
    <col min="3330" max="3330" width="24.44140625" style="29" customWidth="1"/>
    <col min="3331" max="3331" width="15.44140625" style="29" customWidth="1"/>
    <col min="3332" max="3332" width="17.88671875" style="29" customWidth="1"/>
    <col min="3333" max="3333" width="14.109375" style="29" customWidth="1"/>
    <col min="3334" max="3334" width="14.44140625" style="29" customWidth="1"/>
    <col min="3335" max="3335" width="10.44140625" style="29" bestFit="1" customWidth="1"/>
    <col min="3336" max="3336" width="10.44140625" style="29" customWidth="1"/>
    <col min="3337" max="3337" width="10.109375" style="29" customWidth="1"/>
    <col min="3338" max="3338" width="10.5546875" style="29" customWidth="1"/>
    <col min="3339" max="3339" width="10.44140625" style="29" bestFit="1" customWidth="1"/>
    <col min="3340" max="3584" width="9.109375" style="29"/>
    <col min="3585" max="3585" width="2.44140625" style="29" customWidth="1"/>
    <col min="3586" max="3586" width="24.44140625" style="29" customWidth="1"/>
    <col min="3587" max="3587" width="15.44140625" style="29" customWidth="1"/>
    <col min="3588" max="3588" width="17.88671875" style="29" customWidth="1"/>
    <col min="3589" max="3589" width="14.109375" style="29" customWidth="1"/>
    <col min="3590" max="3590" width="14.44140625" style="29" customWidth="1"/>
    <col min="3591" max="3591" width="10.44140625" style="29" bestFit="1" customWidth="1"/>
    <col min="3592" max="3592" width="10.44140625" style="29" customWidth="1"/>
    <col min="3593" max="3593" width="10.109375" style="29" customWidth="1"/>
    <col min="3594" max="3594" width="10.5546875" style="29" customWidth="1"/>
    <col min="3595" max="3595" width="10.44140625" style="29" bestFit="1" customWidth="1"/>
    <col min="3596" max="3840" width="9.109375" style="29"/>
    <col min="3841" max="3841" width="2.44140625" style="29" customWidth="1"/>
    <col min="3842" max="3842" width="24.44140625" style="29" customWidth="1"/>
    <col min="3843" max="3843" width="15.44140625" style="29" customWidth="1"/>
    <col min="3844" max="3844" width="17.88671875" style="29" customWidth="1"/>
    <col min="3845" max="3845" width="14.109375" style="29" customWidth="1"/>
    <col min="3846" max="3846" width="14.44140625" style="29" customWidth="1"/>
    <col min="3847" max="3847" width="10.44140625" style="29" bestFit="1" customWidth="1"/>
    <col min="3848" max="3848" width="10.44140625" style="29" customWidth="1"/>
    <col min="3849" max="3849" width="10.109375" style="29" customWidth="1"/>
    <col min="3850" max="3850" width="10.5546875" style="29" customWidth="1"/>
    <col min="3851" max="3851" width="10.44140625" style="29" bestFit="1" customWidth="1"/>
    <col min="3852" max="4096" width="9.109375" style="29"/>
    <col min="4097" max="4097" width="2.44140625" style="29" customWidth="1"/>
    <col min="4098" max="4098" width="24.44140625" style="29" customWidth="1"/>
    <col min="4099" max="4099" width="15.44140625" style="29" customWidth="1"/>
    <col min="4100" max="4100" width="17.88671875" style="29" customWidth="1"/>
    <col min="4101" max="4101" width="14.109375" style="29" customWidth="1"/>
    <col min="4102" max="4102" width="14.44140625" style="29" customWidth="1"/>
    <col min="4103" max="4103" width="10.44140625" style="29" bestFit="1" customWidth="1"/>
    <col min="4104" max="4104" width="10.44140625" style="29" customWidth="1"/>
    <col min="4105" max="4105" width="10.109375" style="29" customWidth="1"/>
    <col min="4106" max="4106" width="10.5546875" style="29" customWidth="1"/>
    <col min="4107" max="4107" width="10.44140625" style="29" bestFit="1" customWidth="1"/>
    <col min="4108" max="4352" width="9.109375" style="29"/>
    <col min="4353" max="4353" width="2.44140625" style="29" customWidth="1"/>
    <col min="4354" max="4354" width="24.44140625" style="29" customWidth="1"/>
    <col min="4355" max="4355" width="15.44140625" style="29" customWidth="1"/>
    <col min="4356" max="4356" width="17.88671875" style="29" customWidth="1"/>
    <col min="4357" max="4357" width="14.109375" style="29" customWidth="1"/>
    <col min="4358" max="4358" width="14.44140625" style="29" customWidth="1"/>
    <col min="4359" max="4359" width="10.44140625" style="29" bestFit="1" customWidth="1"/>
    <col min="4360" max="4360" width="10.44140625" style="29" customWidth="1"/>
    <col min="4361" max="4361" width="10.109375" style="29" customWidth="1"/>
    <col min="4362" max="4362" width="10.5546875" style="29" customWidth="1"/>
    <col min="4363" max="4363" width="10.44140625" style="29" bestFit="1" customWidth="1"/>
    <col min="4364" max="4608" width="9.109375" style="29"/>
    <col min="4609" max="4609" width="2.44140625" style="29" customWidth="1"/>
    <col min="4610" max="4610" width="24.44140625" style="29" customWidth="1"/>
    <col min="4611" max="4611" width="15.44140625" style="29" customWidth="1"/>
    <col min="4612" max="4612" width="17.88671875" style="29" customWidth="1"/>
    <col min="4613" max="4613" width="14.109375" style="29" customWidth="1"/>
    <col min="4614" max="4614" width="14.44140625" style="29" customWidth="1"/>
    <col min="4615" max="4615" width="10.44140625" style="29" bestFit="1" customWidth="1"/>
    <col min="4616" max="4616" width="10.44140625" style="29" customWidth="1"/>
    <col min="4617" max="4617" width="10.109375" style="29" customWidth="1"/>
    <col min="4618" max="4618" width="10.5546875" style="29" customWidth="1"/>
    <col min="4619" max="4619" width="10.44140625" style="29" bestFit="1" customWidth="1"/>
    <col min="4620" max="4864" width="9.109375" style="29"/>
    <col min="4865" max="4865" width="2.44140625" style="29" customWidth="1"/>
    <col min="4866" max="4866" width="24.44140625" style="29" customWidth="1"/>
    <col min="4867" max="4867" width="15.44140625" style="29" customWidth="1"/>
    <col min="4868" max="4868" width="17.88671875" style="29" customWidth="1"/>
    <col min="4869" max="4869" width="14.109375" style="29" customWidth="1"/>
    <col min="4870" max="4870" width="14.44140625" style="29" customWidth="1"/>
    <col min="4871" max="4871" width="10.44140625" style="29" bestFit="1" customWidth="1"/>
    <col min="4872" max="4872" width="10.44140625" style="29" customWidth="1"/>
    <col min="4873" max="4873" width="10.109375" style="29" customWidth="1"/>
    <col min="4874" max="4874" width="10.5546875" style="29" customWidth="1"/>
    <col min="4875" max="4875" width="10.44140625" style="29" bestFit="1" customWidth="1"/>
    <col min="4876" max="5120" width="9.109375" style="29"/>
    <col min="5121" max="5121" width="2.44140625" style="29" customWidth="1"/>
    <col min="5122" max="5122" width="24.44140625" style="29" customWidth="1"/>
    <col min="5123" max="5123" width="15.44140625" style="29" customWidth="1"/>
    <col min="5124" max="5124" width="17.88671875" style="29" customWidth="1"/>
    <col min="5125" max="5125" width="14.109375" style="29" customWidth="1"/>
    <col min="5126" max="5126" width="14.44140625" style="29" customWidth="1"/>
    <col min="5127" max="5127" width="10.44140625" style="29" bestFit="1" customWidth="1"/>
    <col min="5128" max="5128" width="10.44140625" style="29" customWidth="1"/>
    <col min="5129" max="5129" width="10.109375" style="29" customWidth="1"/>
    <col min="5130" max="5130" width="10.5546875" style="29" customWidth="1"/>
    <col min="5131" max="5131" width="10.44140625" style="29" bestFit="1" customWidth="1"/>
    <col min="5132" max="5376" width="9.109375" style="29"/>
    <col min="5377" max="5377" width="2.44140625" style="29" customWidth="1"/>
    <col min="5378" max="5378" width="24.44140625" style="29" customWidth="1"/>
    <col min="5379" max="5379" width="15.44140625" style="29" customWidth="1"/>
    <col min="5380" max="5380" width="17.88671875" style="29" customWidth="1"/>
    <col min="5381" max="5381" width="14.109375" style="29" customWidth="1"/>
    <col min="5382" max="5382" width="14.44140625" style="29" customWidth="1"/>
    <col min="5383" max="5383" width="10.44140625" style="29" bestFit="1" customWidth="1"/>
    <col min="5384" max="5384" width="10.44140625" style="29" customWidth="1"/>
    <col min="5385" max="5385" width="10.109375" style="29" customWidth="1"/>
    <col min="5386" max="5386" width="10.5546875" style="29" customWidth="1"/>
    <col min="5387" max="5387" width="10.44140625" style="29" bestFit="1" customWidth="1"/>
    <col min="5388" max="5632" width="9.109375" style="29"/>
    <col min="5633" max="5633" width="2.44140625" style="29" customWidth="1"/>
    <col min="5634" max="5634" width="24.44140625" style="29" customWidth="1"/>
    <col min="5635" max="5635" width="15.44140625" style="29" customWidth="1"/>
    <col min="5636" max="5636" width="17.88671875" style="29" customWidth="1"/>
    <col min="5637" max="5637" width="14.109375" style="29" customWidth="1"/>
    <col min="5638" max="5638" width="14.44140625" style="29" customWidth="1"/>
    <col min="5639" max="5639" width="10.44140625" style="29" bestFit="1" customWidth="1"/>
    <col min="5640" max="5640" width="10.44140625" style="29" customWidth="1"/>
    <col min="5641" max="5641" width="10.109375" style="29" customWidth="1"/>
    <col min="5642" max="5642" width="10.5546875" style="29" customWidth="1"/>
    <col min="5643" max="5643" width="10.44140625" style="29" bestFit="1" customWidth="1"/>
    <col min="5644" max="5888" width="9.109375" style="29"/>
    <col min="5889" max="5889" width="2.44140625" style="29" customWidth="1"/>
    <col min="5890" max="5890" width="24.44140625" style="29" customWidth="1"/>
    <col min="5891" max="5891" width="15.44140625" style="29" customWidth="1"/>
    <col min="5892" max="5892" width="17.88671875" style="29" customWidth="1"/>
    <col min="5893" max="5893" width="14.109375" style="29" customWidth="1"/>
    <col min="5894" max="5894" width="14.44140625" style="29" customWidth="1"/>
    <col min="5895" max="5895" width="10.44140625" style="29" bestFit="1" customWidth="1"/>
    <col min="5896" max="5896" width="10.44140625" style="29" customWidth="1"/>
    <col min="5897" max="5897" width="10.109375" style="29" customWidth="1"/>
    <col min="5898" max="5898" width="10.5546875" style="29" customWidth="1"/>
    <col min="5899" max="5899" width="10.44140625" style="29" bestFit="1" customWidth="1"/>
    <col min="5900" max="6144" width="9.109375" style="29"/>
    <col min="6145" max="6145" width="2.44140625" style="29" customWidth="1"/>
    <col min="6146" max="6146" width="24.44140625" style="29" customWidth="1"/>
    <col min="6147" max="6147" width="15.44140625" style="29" customWidth="1"/>
    <col min="6148" max="6148" width="17.88671875" style="29" customWidth="1"/>
    <col min="6149" max="6149" width="14.109375" style="29" customWidth="1"/>
    <col min="6150" max="6150" width="14.44140625" style="29" customWidth="1"/>
    <col min="6151" max="6151" width="10.44140625" style="29" bestFit="1" customWidth="1"/>
    <col min="6152" max="6152" width="10.44140625" style="29" customWidth="1"/>
    <col min="6153" max="6153" width="10.109375" style="29" customWidth="1"/>
    <col min="6154" max="6154" width="10.5546875" style="29" customWidth="1"/>
    <col min="6155" max="6155" width="10.44140625" style="29" bestFit="1" customWidth="1"/>
    <col min="6156" max="6400" width="9.109375" style="29"/>
    <col min="6401" max="6401" width="2.44140625" style="29" customWidth="1"/>
    <col min="6402" max="6402" width="24.44140625" style="29" customWidth="1"/>
    <col min="6403" max="6403" width="15.44140625" style="29" customWidth="1"/>
    <col min="6404" max="6404" width="17.88671875" style="29" customWidth="1"/>
    <col min="6405" max="6405" width="14.109375" style="29" customWidth="1"/>
    <col min="6406" max="6406" width="14.44140625" style="29" customWidth="1"/>
    <col min="6407" max="6407" width="10.44140625" style="29" bestFit="1" customWidth="1"/>
    <col min="6408" max="6408" width="10.44140625" style="29" customWidth="1"/>
    <col min="6409" max="6409" width="10.109375" style="29" customWidth="1"/>
    <col min="6410" max="6410" width="10.5546875" style="29" customWidth="1"/>
    <col min="6411" max="6411" width="10.44140625" style="29" bestFit="1" customWidth="1"/>
    <col min="6412" max="6656" width="9.109375" style="29"/>
    <col min="6657" max="6657" width="2.44140625" style="29" customWidth="1"/>
    <col min="6658" max="6658" width="24.44140625" style="29" customWidth="1"/>
    <col min="6659" max="6659" width="15.44140625" style="29" customWidth="1"/>
    <col min="6660" max="6660" width="17.88671875" style="29" customWidth="1"/>
    <col min="6661" max="6661" width="14.109375" style="29" customWidth="1"/>
    <col min="6662" max="6662" width="14.44140625" style="29" customWidth="1"/>
    <col min="6663" max="6663" width="10.44140625" style="29" bestFit="1" customWidth="1"/>
    <col min="6664" max="6664" width="10.44140625" style="29" customWidth="1"/>
    <col min="6665" max="6665" width="10.109375" style="29" customWidth="1"/>
    <col min="6666" max="6666" width="10.5546875" style="29" customWidth="1"/>
    <col min="6667" max="6667" width="10.44140625" style="29" bestFit="1" customWidth="1"/>
    <col min="6668" max="6912" width="9.109375" style="29"/>
    <col min="6913" max="6913" width="2.44140625" style="29" customWidth="1"/>
    <col min="6914" max="6914" width="24.44140625" style="29" customWidth="1"/>
    <col min="6915" max="6915" width="15.44140625" style="29" customWidth="1"/>
    <col min="6916" max="6916" width="17.88671875" style="29" customWidth="1"/>
    <col min="6917" max="6917" width="14.109375" style="29" customWidth="1"/>
    <col min="6918" max="6918" width="14.44140625" style="29" customWidth="1"/>
    <col min="6919" max="6919" width="10.44140625" style="29" bestFit="1" customWidth="1"/>
    <col min="6920" max="6920" width="10.44140625" style="29" customWidth="1"/>
    <col min="6921" max="6921" width="10.109375" style="29" customWidth="1"/>
    <col min="6922" max="6922" width="10.5546875" style="29" customWidth="1"/>
    <col min="6923" max="6923" width="10.44140625" style="29" bestFit="1" customWidth="1"/>
    <col min="6924" max="7168" width="9.109375" style="29"/>
    <col min="7169" max="7169" width="2.44140625" style="29" customWidth="1"/>
    <col min="7170" max="7170" width="24.44140625" style="29" customWidth="1"/>
    <col min="7171" max="7171" width="15.44140625" style="29" customWidth="1"/>
    <col min="7172" max="7172" width="17.88671875" style="29" customWidth="1"/>
    <col min="7173" max="7173" width="14.109375" style="29" customWidth="1"/>
    <col min="7174" max="7174" width="14.44140625" style="29" customWidth="1"/>
    <col min="7175" max="7175" width="10.44140625" style="29" bestFit="1" customWidth="1"/>
    <col min="7176" max="7176" width="10.44140625" style="29" customWidth="1"/>
    <col min="7177" max="7177" width="10.109375" style="29" customWidth="1"/>
    <col min="7178" max="7178" width="10.5546875" style="29" customWidth="1"/>
    <col min="7179" max="7179" width="10.44140625" style="29" bestFit="1" customWidth="1"/>
    <col min="7180" max="7424" width="9.109375" style="29"/>
    <col min="7425" max="7425" width="2.44140625" style="29" customWidth="1"/>
    <col min="7426" max="7426" width="24.44140625" style="29" customWidth="1"/>
    <col min="7427" max="7427" width="15.44140625" style="29" customWidth="1"/>
    <col min="7428" max="7428" width="17.88671875" style="29" customWidth="1"/>
    <col min="7429" max="7429" width="14.109375" style="29" customWidth="1"/>
    <col min="7430" max="7430" width="14.44140625" style="29" customWidth="1"/>
    <col min="7431" max="7431" width="10.44140625" style="29" bestFit="1" customWidth="1"/>
    <col min="7432" max="7432" width="10.44140625" style="29" customWidth="1"/>
    <col min="7433" max="7433" width="10.109375" style="29" customWidth="1"/>
    <col min="7434" max="7434" width="10.5546875" style="29" customWidth="1"/>
    <col min="7435" max="7435" width="10.44140625" style="29" bestFit="1" customWidth="1"/>
    <col min="7436" max="7680" width="9.109375" style="29"/>
    <col min="7681" max="7681" width="2.44140625" style="29" customWidth="1"/>
    <col min="7682" max="7682" width="24.44140625" style="29" customWidth="1"/>
    <col min="7683" max="7683" width="15.44140625" style="29" customWidth="1"/>
    <col min="7684" max="7684" width="17.88671875" style="29" customWidth="1"/>
    <col min="7685" max="7685" width="14.109375" style="29" customWidth="1"/>
    <col min="7686" max="7686" width="14.44140625" style="29" customWidth="1"/>
    <col min="7687" max="7687" width="10.44140625" style="29" bestFit="1" customWidth="1"/>
    <col min="7688" max="7688" width="10.44140625" style="29" customWidth="1"/>
    <col min="7689" max="7689" width="10.109375" style="29" customWidth="1"/>
    <col min="7690" max="7690" width="10.5546875" style="29" customWidth="1"/>
    <col min="7691" max="7691" width="10.44140625" style="29" bestFit="1" customWidth="1"/>
    <col min="7692" max="7936" width="9.109375" style="29"/>
    <col min="7937" max="7937" width="2.44140625" style="29" customWidth="1"/>
    <col min="7938" max="7938" width="24.44140625" style="29" customWidth="1"/>
    <col min="7939" max="7939" width="15.44140625" style="29" customWidth="1"/>
    <col min="7940" max="7940" width="17.88671875" style="29" customWidth="1"/>
    <col min="7941" max="7941" width="14.109375" style="29" customWidth="1"/>
    <col min="7942" max="7942" width="14.44140625" style="29" customWidth="1"/>
    <col min="7943" max="7943" width="10.44140625" style="29" bestFit="1" customWidth="1"/>
    <col min="7944" max="7944" width="10.44140625" style="29" customWidth="1"/>
    <col min="7945" max="7945" width="10.109375" style="29" customWidth="1"/>
    <col min="7946" max="7946" width="10.5546875" style="29" customWidth="1"/>
    <col min="7947" max="7947" width="10.44140625" style="29" bestFit="1" customWidth="1"/>
    <col min="7948" max="8192" width="9.109375" style="29"/>
    <col min="8193" max="8193" width="2.44140625" style="29" customWidth="1"/>
    <col min="8194" max="8194" width="24.44140625" style="29" customWidth="1"/>
    <col min="8195" max="8195" width="15.44140625" style="29" customWidth="1"/>
    <col min="8196" max="8196" width="17.88671875" style="29" customWidth="1"/>
    <col min="8197" max="8197" width="14.109375" style="29" customWidth="1"/>
    <col min="8198" max="8198" width="14.44140625" style="29" customWidth="1"/>
    <col min="8199" max="8199" width="10.44140625" style="29" bestFit="1" customWidth="1"/>
    <col min="8200" max="8200" width="10.44140625" style="29" customWidth="1"/>
    <col min="8201" max="8201" width="10.109375" style="29" customWidth="1"/>
    <col min="8202" max="8202" width="10.5546875" style="29" customWidth="1"/>
    <col min="8203" max="8203" width="10.44140625" style="29" bestFit="1" customWidth="1"/>
    <col min="8204" max="8448" width="9.109375" style="29"/>
    <col min="8449" max="8449" width="2.44140625" style="29" customWidth="1"/>
    <col min="8450" max="8450" width="24.44140625" style="29" customWidth="1"/>
    <col min="8451" max="8451" width="15.44140625" style="29" customWidth="1"/>
    <col min="8452" max="8452" width="17.88671875" style="29" customWidth="1"/>
    <col min="8453" max="8453" width="14.109375" style="29" customWidth="1"/>
    <col min="8454" max="8454" width="14.44140625" style="29" customWidth="1"/>
    <col min="8455" max="8455" width="10.44140625" style="29" bestFit="1" customWidth="1"/>
    <col min="8456" max="8456" width="10.44140625" style="29" customWidth="1"/>
    <col min="8457" max="8457" width="10.109375" style="29" customWidth="1"/>
    <col min="8458" max="8458" width="10.5546875" style="29" customWidth="1"/>
    <col min="8459" max="8459" width="10.44140625" style="29" bestFit="1" customWidth="1"/>
    <col min="8460" max="8704" width="9.109375" style="29"/>
    <col min="8705" max="8705" width="2.44140625" style="29" customWidth="1"/>
    <col min="8706" max="8706" width="24.44140625" style="29" customWidth="1"/>
    <col min="8707" max="8707" width="15.44140625" style="29" customWidth="1"/>
    <col min="8708" max="8708" width="17.88671875" style="29" customWidth="1"/>
    <col min="8709" max="8709" width="14.109375" style="29" customWidth="1"/>
    <col min="8710" max="8710" width="14.44140625" style="29" customWidth="1"/>
    <col min="8711" max="8711" width="10.44140625" style="29" bestFit="1" customWidth="1"/>
    <col min="8712" max="8712" width="10.44140625" style="29" customWidth="1"/>
    <col min="8713" max="8713" width="10.109375" style="29" customWidth="1"/>
    <col min="8714" max="8714" width="10.5546875" style="29" customWidth="1"/>
    <col min="8715" max="8715" width="10.44140625" style="29" bestFit="1" customWidth="1"/>
    <col min="8716" max="8960" width="9.109375" style="29"/>
    <col min="8961" max="8961" width="2.44140625" style="29" customWidth="1"/>
    <col min="8962" max="8962" width="24.44140625" style="29" customWidth="1"/>
    <col min="8963" max="8963" width="15.44140625" style="29" customWidth="1"/>
    <col min="8964" max="8964" width="17.88671875" style="29" customWidth="1"/>
    <col min="8965" max="8965" width="14.109375" style="29" customWidth="1"/>
    <col min="8966" max="8966" width="14.44140625" style="29" customWidth="1"/>
    <col min="8967" max="8967" width="10.44140625" style="29" bestFit="1" customWidth="1"/>
    <col min="8968" max="8968" width="10.44140625" style="29" customWidth="1"/>
    <col min="8969" max="8969" width="10.109375" style="29" customWidth="1"/>
    <col min="8970" max="8970" width="10.5546875" style="29" customWidth="1"/>
    <col min="8971" max="8971" width="10.44140625" style="29" bestFit="1" customWidth="1"/>
    <col min="8972" max="9216" width="9.109375" style="29"/>
    <col min="9217" max="9217" width="2.44140625" style="29" customWidth="1"/>
    <col min="9218" max="9218" width="24.44140625" style="29" customWidth="1"/>
    <col min="9219" max="9219" width="15.44140625" style="29" customWidth="1"/>
    <col min="9220" max="9220" width="17.88671875" style="29" customWidth="1"/>
    <col min="9221" max="9221" width="14.109375" style="29" customWidth="1"/>
    <col min="9222" max="9222" width="14.44140625" style="29" customWidth="1"/>
    <col min="9223" max="9223" width="10.44140625" style="29" bestFit="1" customWidth="1"/>
    <col min="9224" max="9224" width="10.44140625" style="29" customWidth="1"/>
    <col min="9225" max="9225" width="10.109375" style="29" customWidth="1"/>
    <col min="9226" max="9226" width="10.5546875" style="29" customWidth="1"/>
    <col min="9227" max="9227" width="10.44140625" style="29" bestFit="1" customWidth="1"/>
    <col min="9228" max="9472" width="9.109375" style="29"/>
    <col min="9473" max="9473" width="2.44140625" style="29" customWidth="1"/>
    <col min="9474" max="9474" width="24.44140625" style="29" customWidth="1"/>
    <col min="9475" max="9475" width="15.44140625" style="29" customWidth="1"/>
    <col min="9476" max="9476" width="17.88671875" style="29" customWidth="1"/>
    <col min="9477" max="9477" width="14.109375" style="29" customWidth="1"/>
    <col min="9478" max="9478" width="14.44140625" style="29" customWidth="1"/>
    <col min="9479" max="9479" width="10.44140625" style="29" bestFit="1" customWidth="1"/>
    <col min="9480" max="9480" width="10.44140625" style="29" customWidth="1"/>
    <col min="9481" max="9481" width="10.109375" style="29" customWidth="1"/>
    <col min="9482" max="9482" width="10.5546875" style="29" customWidth="1"/>
    <col min="9483" max="9483" width="10.44140625" style="29" bestFit="1" customWidth="1"/>
    <col min="9484" max="9728" width="9.109375" style="29"/>
    <col min="9729" max="9729" width="2.44140625" style="29" customWidth="1"/>
    <col min="9730" max="9730" width="24.44140625" style="29" customWidth="1"/>
    <col min="9731" max="9731" width="15.44140625" style="29" customWidth="1"/>
    <col min="9732" max="9732" width="17.88671875" style="29" customWidth="1"/>
    <col min="9733" max="9733" width="14.109375" style="29" customWidth="1"/>
    <col min="9734" max="9734" width="14.44140625" style="29" customWidth="1"/>
    <col min="9735" max="9735" width="10.44140625" style="29" bestFit="1" customWidth="1"/>
    <col min="9736" max="9736" width="10.44140625" style="29" customWidth="1"/>
    <col min="9737" max="9737" width="10.109375" style="29" customWidth="1"/>
    <col min="9738" max="9738" width="10.5546875" style="29" customWidth="1"/>
    <col min="9739" max="9739" width="10.44140625" style="29" bestFit="1" customWidth="1"/>
    <col min="9740" max="9984" width="9.109375" style="29"/>
    <col min="9985" max="9985" width="2.44140625" style="29" customWidth="1"/>
    <col min="9986" max="9986" width="24.44140625" style="29" customWidth="1"/>
    <col min="9987" max="9987" width="15.44140625" style="29" customWidth="1"/>
    <col min="9988" max="9988" width="17.88671875" style="29" customWidth="1"/>
    <col min="9989" max="9989" width="14.109375" style="29" customWidth="1"/>
    <col min="9990" max="9990" width="14.44140625" style="29" customWidth="1"/>
    <col min="9991" max="9991" width="10.44140625" style="29" bestFit="1" customWidth="1"/>
    <col min="9992" max="9992" width="10.44140625" style="29" customWidth="1"/>
    <col min="9993" max="9993" width="10.109375" style="29" customWidth="1"/>
    <col min="9994" max="9994" width="10.5546875" style="29" customWidth="1"/>
    <col min="9995" max="9995" width="10.44140625" style="29" bestFit="1" customWidth="1"/>
    <col min="9996" max="10240" width="9.109375" style="29"/>
    <col min="10241" max="10241" width="2.44140625" style="29" customWidth="1"/>
    <col min="10242" max="10242" width="24.44140625" style="29" customWidth="1"/>
    <col min="10243" max="10243" width="15.44140625" style="29" customWidth="1"/>
    <col min="10244" max="10244" width="17.88671875" style="29" customWidth="1"/>
    <col min="10245" max="10245" width="14.109375" style="29" customWidth="1"/>
    <col min="10246" max="10246" width="14.44140625" style="29" customWidth="1"/>
    <col min="10247" max="10247" width="10.44140625" style="29" bestFit="1" customWidth="1"/>
    <col min="10248" max="10248" width="10.44140625" style="29" customWidth="1"/>
    <col min="10249" max="10249" width="10.109375" style="29" customWidth="1"/>
    <col min="10250" max="10250" width="10.5546875" style="29" customWidth="1"/>
    <col min="10251" max="10251" width="10.44140625" style="29" bestFit="1" customWidth="1"/>
    <col min="10252" max="10496" width="9.109375" style="29"/>
    <col min="10497" max="10497" width="2.44140625" style="29" customWidth="1"/>
    <col min="10498" max="10498" width="24.44140625" style="29" customWidth="1"/>
    <col min="10499" max="10499" width="15.44140625" style="29" customWidth="1"/>
    <col min="10500" max="10500" width="17.88671875" style="29" customWidth="1"/>
    <col min="10501" max="10501" width="14.109375" style="29" customWidth="1"/>
    <col min="10502" max="10502" width="14.44140625" style="29" customWidth="1"/>
    <col min="10503" max="10503" width="10.44140625" style="29" bestFit="1" customWidth="1"/>
    <col min="10504" max="10504" width="10.44140625" style="29" customWidth="1"/>
    <col min="10505" max="10505" width="10.109375" style="29" customWidth="1"/>
    <col min="10506" max="10506" width="10.5546875" style="29" customWidth="1"/>
    <col min="10507" max="10507" width="10.44140625" style="29" bestFit="1" customWidth="1"/>
    <col min="10508" max="10752" width="9.109375" style="29"/>
    <col min="10753" max="10753" width="2.44140625" style="29" customWidth="1"/>
    <col min="10754" max="10754" width="24.44140625" style="29" customWidth="1"/>
    <col min="10755" max="10755" width="15.44140625" style="29" customWidth="1"/>
    <col min="10756" max="10756" width="17.88671875" style="29" customWidth="1"/>
    <col min="10757" max="10757" width="14.109375" style="29" customWidth="1"/>
    <col min="10758" max="10758" width="14.44140625" style="29" customWidth="1"/>
    <col min="10759" max="10759" width="10.44140625" style="29" bestFit="1" customWidth="1"/>
    <col min="10760" max="10760" width="10.44140625" style="29" customWidth="1"/>
    <col min="10761" max="10761" width="10.109375" style="29" customWidth="1"/>
    <col min="10762" max="10762" width="10.5546875" style="29" customWidth="1"/>
    <col min="10763" max="10763" width="10.44140625" style="29" bestFit="1" customWidth="1"/>
    <col min="10764" max="11008" width="9.109375" style="29"/>
    <col min="11009" max="11009" width="2.44140625" style="29" customWidth="1"/>
    <col min="11010" max="11010" width="24.44140625" style="29" customWidth="1"/>
    <col min="11011" max="11011" width="15.44140625" style="29" customWidth="1"/>
    <col min="11012" max="11012" width="17.88671875" style="29" customWidth="1"/>
    <col min="11013" max="11013" width="14.109375" style="29" customWidth="1"/>
    <col min="11014" max="11014" width="14.44140625" style="29" customWidth="1"/>
    <col min="11015" max="11015" width="10.44140625" style="29" bestFit="1" customWidth="1"/>
    <col min="11016" max="11016" width="10.44140625" style="29" customWidth="1"/>
    <col min="11017" max="11017" width="10.109375" style="29" customWidth="1"/>
    <col min="11018" max="11018" width="10.5546875" style="29" customWidth="1"/>
    <col min="11019" max="11019" width="10.44140625" style="29" bestFit="1" customWidth="1"/>
    <col min="11020" max="11264" width="9.109375" style="29"/>
    <col min="11265" max="11265" width="2.44140625" style="29" customWidth="1"/>
    <col min="11266" max="11266" width="24.44140625" style="29" customWidth="1"/>
    <col min="11267" max="11267" width="15.44140625" style="29" customWidth="1"/>
    <col min="11268" max="11268" width="17.88671875" style="29" customWidth="1"/>
    <col min="11269" max="11269" width="14.109375" style="29" customWidth="1"/>
    <col min="11270" max="11270" width="14.44140625" style="29" customWidth="1"/>
    <col min="11271" max="11271" width="10.44140625" style="29" bestFit="1" customWidth="1"/>
    <col min="11272" max="11272" width="10.44140625" style="29" customWidth="1"/>
    <col min="11273" max="11273" width="10.109375" style="29" customWidth="1"/>
    <col min="11274" max="11274" width="10.5546875" style="29" customWidth="1"/>
    <col min="11275" max="11275" width="10.44140625" style="29" bestFit="1" customWidth="1"/>
    <col min="11276" max="11520" width="9.109375" style="29"/>
    <col min="11521" max="11521" width="2.44140625" style="29" customWidth="1"/>
    <col min="11522" max="11522" width="24.44140625" style="29" customWidth="1"/>
    <col min="11523" max="11523" width="15.44140625" style="29" customWidth="1"/>
    <col min="11524" max="11524" width="17.88671875" style="29" customWidth="1"/>
    <col min="11525" max="11525" width="14.109375" style="29" customWidth="1"/>
    <col min="11526" max="11526" width="14.44140625" style="29" customWidth="1"/>
    <col min="11527" max="11527" width="10.44140625" style="29" bestFit="1" customWidth="1"/>
    <col min="11528" max="11528" width="10.44140625" style="29" customWidth="1"/>
    <col min="11529" max="11529" width="10.109375" style="29" customWidth="1"/>
    <col min="11530" max="11530" width="10.5546875" style="29" customWidth="1"/>
    <col min="11531" max="11531" width="10.44140625" style="29" bestFit="1" customWidth="1"/>
    <col min="11532" max="11776" width="9.109375" style="29"/>
    <col min="11777" max="11777" width="2.44140625" style="29" customWidth="1"/>
    <col min="11778" max="11778" width="24.44140625" style="29" customWidth="1"/>
    <col min="11779" max="11779" width="15.44140625" style="29" customWidth="1"/>
    <col min="11780" max="11780" width="17.88671875" style="29" customWidth="1"/>
    <col min="11781" max="11781" width="14.109375" style="29" customWidth="1"/>
    <col min="11782" max="11782" width="14.44140625" style="29" customWidth="1"/>
    <col min="11783" max="11783" width="10.44140625" style="29" bestFit="1" customWidth="1"/>
    <col min="11784" max="11784" width="10.44140625" style="29" customWidth="1"/>
    <col min="11785" max="11785" width="10.109375" style="29" customWidth="1"/>
    <col min="11786" max="11786" width="10.5546875" style="29" customWidth="1"/>
    <col min="11787" max="11787" width="10.44140625" style="29" bestFit="1" customWidth="1"/>
    <col min="11788" max="12032" width="9.109375" style="29"/>
    <col min="12033" max="12033" width="2.44140625" style="29" customWidth="1"/>
    <col min="12034" max="12034" width="24.44140625" style="29" customWidth="1"/>
    <col min="12035" max="12035" width="15.44140625" style="29" customWidth="1"/>
    <col min="12036" max="12036" width="17.88671875" style="29" customWidth="1"/>
    <col min="12037" max="12037" width="14.109375" style="29" customWidth="1"/>
    <col min="12038" max="12038" width="14.44140625" style="29" customWidth="1"/>
    <col min="12039" max="12039" width="10.44140625" style="29" bestFit="1" customWidth="1"/>
    <col min="12040" max="12040" width="10.44140625" style="29" customWidth="1"/>
    <col min="12041" max="12041" width="10.109375" style="29" customWidth="1"/>
    <col min="12042" max="12042" width="10.5546875" style="29" customWidth="1"/>
    <col min="12043" max="12043" width="10.44140625" style="29" bestFit="1" customWidth="1"/>
    <col min="12044" max="12288" width="9.109375" style="29"/>
    <col min="12289" max="12289" width="2.44140625" style="29" customWidth="1"/>
    <col min="12290" max="12290" width="24.44140625" style="29" customWidth="1"/>
    <col min="12291" max="12291" width="15.44140625" style="29" customWidth="1"/>
    <col min="12292" max="12292" width="17.88671875" style="29" customWidth="1"/>
    <col min="12293" max="12293" width="14.109375" style="29" customWidth="1"/>
    <col min="12294" max="12294" width="14.44140625" style="29" customWidth="1"/>
    <col min="12295" max="12295" width="10.44140625" style="29" bestFit="1" customWidth="1"/>
    <col min="12296" max="12296" width="10.44140625" style="29" customWidth="1"/>
    <col min="12297" max="12297" width="10.109375" style="29" customWidth="1"/>
    <col min="12298" max="12298" width="10.5546875" style="29" customWidth="1"/>
    <col min="12299" max="12299" width="10.44140625" style="29" bestFit="1" customWidth="1"/>
    <col min="12300" max="12544" width="9.109375" style="29"/>
    <col min="12545" max="12545" width="2.44140625" style="29" customWidth="1"/>
    <col min="12546" max="12546" width="24.44140625" style="29" customWidth="1"/>
    <col min="12547" max="12547" width="15.44140625" style="29" customWidth="1"/>
    <col min="12548" max="12548" width="17.88671875" style="29" customWidth="1"/>
    <col min="12549" max="12549" width="14.109375" style="29" customWidth="1"/>
    <col min="12550" max="12550" width="14.44140625" style="29" customWidth="1"/>
    <col min="12551" max="12551" width="10.44140625" style="29" bestFit="1" customWidth="1"/>
    <col min="12552" max="12552" width="10.44140625" style="29" customWidth="1"/>
    <col min="12553" max="12553" width="10.109375" style="29" customWidth="1"/>
    <col min="12554" max="12554" width="10.5546875" style="29" customWidth="1"/>
    <col min="12555" max="12555" width="10.44140625" style="29" bestFit="1" customWidth="1"/>
    <col min="12556" max="12800" width="9.109375" style="29"/>
    <col min="12801" max="12801" width="2.44140625" style="29" customWidth="1"/>
    <col min="12802" max="12802" width="24.44140625" style="29" customWidth="1"/>
    <col min="12803" max="12803" width="15.44140625" style="29" customWidth="1"/>
    <col min="12804" max="12804" width="17.88671875" style="29" customWidth="1"/>
    <col min="12805" max="12805" width="14.109375" style="29" customWidth="1"/>
    <col min="12806" max="12806" width="14.44140625" style="29" customWidth="1"/>
    <col min="12807" max="12807" width="10.44140625" style="29" bestFit="1" customWidth="1"/>
    <col min="12808" max="12808" width="10.44140625" style="29" customWidth="1"/>
    <col min="12809" max="12809" width="10.109375" style="29" customWidth="1"/>
    <col min="12810" max="12810" width="10.5546875" style="29" customWidth="1"/>
    <col min="12811" max="12811" width="10.44140625" style="29" bestFit="1" customWidth="1"/>
    <col min="12812" max="13056" width="9.109375" style="29"/>
    <col min="13057" max="13057" width="2.44140625" style="29" customWidth="1"/>
    <col min="13058" max="13058" width="24.44140625" style="29" customWidth="1"/>
    <col min="13059" max="13059" width="15.44140625" style="29" customWidth="1"/>
    <col min="13060" max="13060" width="17.88671875" style="29" customWidth="1"/>
    <col min="13061" max="13061" width="14.109375" style="29" customWidth="1"/>
    <col min="13062" max="13062" width="14.44140625" style="29" customWidth="1"/>
    <col min="13063" max="13063" width="10.44140625" style="29" bestFit="1" customWidth="1"/>
    <col min="13064" max="13064" width="10.44140625" style="29" customWidth="1"/>
    <col min="13065" max="13065" width="10.109375" style="29" customWidth="1"/>
    <col min="13066" max="13066" width="10.5546875" style="29" customWidth="1"/>
    <col min="13067" max="13067" width="10.44140625" style="29" bestFit="1" customWidth="1"/>
    <col min="13068" max="13312" width="9.109375" style="29"/>
    <col min="13313" max="13313" width="2.44140625" style="29" customWidth="1"/>
    <col min="13314" max="13314" width="24.44140625" style="29" customWidth="1"/>
    <col min="13315" max="13315" width="15.44140625" style="29" customWidth="1"/>
    <col min="13316" max="13316" width="17.88671875" style="29" customWidth="1"/>
    <col min="13317" max="13317" width="14.109375" style="29" customWidth="1"/>
    <col min="13318" max="13318" width="14.44140625" style="29" customWidth="1"/>
    <col min="13319" max="13319" width="10.44140625" style="29" bestFit="1" customWidth="1"/>
    <col min="13320" max="13320" width="10.44140625" style="29" customWidth="1"/>
    <col min="13321" max="13321" width="10.109375" style="29" customWidth="1"/>
    <col min="13322" max="13322" width="10.5546875" style="29" customWidth="1"/>
    <col min="13323" max="13323" width="10.44140625" style="29" bestFit="1" customWidth="1"/>
    <col min="13324" max="13568" width="9.109375" style="29"/>
    <col min="13569" max="13569" width="2.44140625" style="29" customWidth="1"/>
    <col min="13570" max="13570" width="24.44140625" style="29" customWidth="1"/>
    <col min="13571" max="13571" width="15.44140625" style="29" customWidth="1"/>
    <col min="13572" max="13572" width="17.88671875" style="29" customWidth="1"/>
    <col min="13573" max="13573" width="14.109375" style="29" customWidth="1"/>
    <col min="13574" max="13574" width="14.44140625" style="29" customWidth="1"/>
    <col min="13575" max="13575" width="10.44140625" style="29" bestFit="1" customWidth="1"/>
    <col min="13576" max="13576" width="10.44140625" style="29" customWidth="1"/>
    <col min="13577" max="13577" width="10.109375" style="29" customWidth="1"/>
    <col min="13578" max="13578" width="10.5546875" style="29" customWidth="1"/>
    <col min="13579" max="13579" width="10.44140625" style="29" bestFit="1" customWidth="1"/>
    <col min="13580" max="13824" width="9.109375" style="29"/>
    <col min="13825" max="13825" width="2.44140625" style="29" customWidth="1"/>
    <col min="13826" max="13826" width="24.44140625" style="29" customWidth="1"/>
    <col min="13827" max="13827" width="15.44140625" style="29" customWidth="1"/>
    <col min="13828" max="13828" width="17.88671875" style="29" customWidth="1"/>
    <col min="13829" max="13829" width="14.109375" style="29" customWidth="1"/>
    <col min="13830" max="13830" width="14.44140625" style="29" customWidth="1"/>
    <col min="13831" max="13831" width="10.44140625" style="29" bestFit="1" customWidth="1"/>
    <col min="13832" max="13832" width="10.44140625" style="29" customWidth="1"/>
    <col min="13833" max="13833" width="10.109375" style="29" customWidth="1"/>
    <col min="13834" max="13834" width="10.5546875" style="29" customWidth="1"/>
    <col min="13835" max="13835" width="10.44140625" style="29" bestFit="1" customWidth="1"/>
    <col min="13836" max="14080" width="9.109375" style="29"/>
    <col min="14081" max="14081" width="2.44140625" style="29" customWidth="1"/>
    <col min="14082" max="14082" width="24.44140625" style="29" customWidth="1"/>
    <col min="14083" max="14083" width="15.44140625" style="29" customWidth="1"/>
    <col min="14084" max="14084" width="17.88671875" style="29" customWidth="1"/>
    <col min="14085" max="14085" width="14.109375" style="29" customWidth="1"/>
    <col min="14086" max="14086" width="14.44140625" style="29" customWidth="1"/>
    <col min="14087" max="14087" width="10.44140625" style="29" bestFit="1" customWidth="1"/>
    <col min="14088" max="14088" width="10.44140625" style="29" customWidth="1"/>
    <col min="14089" max="14089" width="10.109375" style="29" customWidth="1"/>
    <col min="14090" max="14090" width="10.5546875" style="29" customWidth="1"/>
    <col min="14091" max="14091" width="10.44140625" style="29" bestFit="1" customWidth="1"/>
    <col min="14092" max="14336" width="9.109375" style="29"/>
    <col min="14337" max="14337" width="2.44140625" style="29" customWidth="1"/>
    <col min="14338" max="14338" width="24.44140625" style="29" customWidth="1"/>
    <col min="14339" max="14339" width="15.44140625" style="29" customWidth="1"/>
    <col min="14340" max="14340" width="17.88671875" style="29" customWidth="1"/>
    <col min="14341" max="14341" width="14.109375" style="29" customWidth="1"/>
    <col min="14342" max="14342" width="14.44140625" style="29" customWidth="1"/>
    <col min="14343" max="14343" width="10.44140625" style="29" bestFit="1" customWidth="1"/>
    <col min="14344" max="14344" width="10.44140625" style="29" customWidth="1"/>
    <col min="14345" max="14345" width="10.109375" style="29" customWidth="1"/>
    <col min="14346" max="14346" width="10.5546875" style="29" customWidth="1"/>
    <col min="14347" max="14347" width="10.44140625" style="29" bestFit="1" customWidth="1"/>
    <col min="14348" max="14592" width="9.109375" style="29"/>
    <col min="14593" max="14593" width="2.44140625" style="29" customWidth="1"/>
    <col min="14594" max="14594" width="24.44140625" style="29" customWidth="1"/>
    <col min="14595" max="14595" width="15.44140625" style="29" customWidth="1"/>
    <col min="14596" max="14596" width="17.88671875" style="29" customWidth="1"/>
    <col min="14597" max="14597" width="14.109375" style="29" customWidth="1"/>
    <col min="14598" max="14598" width="14.44140625" style="29" customWidth="1"/>
    <col min="14599" max="14599" width="10.44140625" style="29" bestFit="1" customWidth="1"/>
    <col min="14600" max="14600" width="10.44140625" style="29" customWidth="1"/>
    <col min="14601" max="14601" width="10.109375" style="29" customWidth="1"/>
    <col min="14602" max="14602" width="10.5546875" style="29" customWidth="1"/>
    <col min="14603" max="14603" width="10.44140625" style="29" bestFit="1" customWidth="1"/>
    <col min="14604" max="14848" width="9.109375" style="29"/>
    <col min="14849" max="14849" width="2.44140625" style="29" customWidth="1"/>
    <col min="14850" max="14850" width="24.44140625" style="29" customWidth="1"/>
    <col min="14851" max="14851" width="15.44140625" style="29" customWidth="1"/>
    <col min="14852" max="14852" width="17.88671875" style="29" customWidth="1"/>
    <col min="14853" max="14853" width="14.109375" style="29" customWidth="1"/>
    <col min="14854" max="14854" width="14.44140625" style="29" customWidth="1"/>
    <col min="14855" max="14855" width="10.44140625" style="29" bestFit="1" customWidth="1"/>
    <col min="14856" max="14856" width="10.44140625" style="29" customWidth="1"/>
    <col min="14857" max="14857" width="10.109375" style="29" customWidth="1"/>
    <col min="14858" max="14858" width="10.5546875" style="29" customWidth="1"/>
    <col min="14859" max="14859" width="10.44140625" style="29" bestFit="1" customWidth="1"/>
    <col min="14860" max="15104" width="9.109375" style="29"/>
    <col min="15105" max="15105" width="2.44140625" style="29" customWidth="1"/>
    <col min="15106" max="15106" width="24.44140625" style="29" customWidth="1"/>
    <col min="15107" max="15107" width="15.44140625" style="29" customWidth="1"/>
    <col min="15108" max="15108" width="17.88671875" style="29" customWidth="1"/>
    <col min="15109" max="15109" width="14.109375" style="29" customWidth="1"/>
    <col min="15110" max="15110" width="14.44140625" style="29" customWidth="1"/>
    <col min="15111" max="15111" width="10.44140625" style="29" bestFit="1" customWidth="1"/>
    <col min="15112" max="15112" width="10.44140625" style="29" customWidth="1"/>
    <col min="15113" max="15113" width="10.109375" style="29" customWidth="1"/>
    <col min="15114" max="15114" width="10.5546875" style="29" customWidth="1"/>
    <col min="15115" max="15115" width="10.44140625" style="29" bestFit="1" customWidth="1"/>
    <col min="15116" max="15360" width="9.109375" style="29"/>
    <col min="15361" max="15361" width="2.44140625" style="29" customWidth="1"/>
    <col min="15362" max="15362" width="24.44140625" style="29" customWidth="1"/>
    <col min="15363" max="15363" width="15.44140625" style="29" customWidth="1"/>
    <col min="15364" max="15364" width="17.88671875" style="29" customWidth="1"/>
    <col min="15365" max="15365" width="14.109375" style="29" customWidth="1"/>
    <col min="15366" max="15366" width="14.44140625" style="29" customWidth="1"/>
    <col min="15367" max="15367" width="10.44140625" style="29" bestFit="1" customWidth="1"/>
    <col min="15368" max="15368" width="10.44140625" style="29" customWidth="1"/>
    <col min="15369" max="15369" width="10.109375" style="29" customWidth="1"/>
    <col min="15370" max="15370" width="10.5546875" style="29" customWidth="1"/>
    <col min="15371" max="15371" width="10.44140625" style="29" bestFit="1" customWidth="1"/>
    <col min="15372" max="15616" width="9.109375" style="29"/>
    <col min="15617" max="15617" width="2.44140625" style="29" customWidth="1"/>
    <col min="15618" max="15618" width="24.44140625" style="29" customWidth="1"/>
    <col min="15619" max="15619" width="15.44140625" style="29" customWidth="1"/>
    <col min="15620" max="15620" width="17.88671875" style="29" customWidth="1"/>
    <col min="15621" max="15621" width="14.109375" style="29" customWidth="1"/>
    <col min="15622" max="15622" width="14.44140625" style="29" customWidth="1"/>
    <col min="15623" max="15623" width="10.44140625" style="29" bestFit="1" customWidth="1"/>
    <col min="15624" max="15624" width="10.44140625" style="29" customWidth="1"/>
    <col min="15625" max="15625" width="10.109375" style="29" customWidth="1"/>
    <col min="15626" max="15626" width="10.5546875" style="29" customWidth="1"/>
    <col min="15627" max="15627" width="10.44140625" style="29" bestFit="1" customWidth="1"/>
    <col min="15628" max="15872" width="9.109375" style="29"/>
    <col min="15873" max="15873" width="2.44140625" style="29" customWidth="1"/>
    <col min="15874" max="15874" width="24.44140625" style="29" customWidth="1"/>
    <col min="15875" max="15875" width="15.44140625" style="29" customWidth="1"/>
    <col min="15876" max="15876" width="17.88671875" style="29" customWidth="1"/>
    <col min="15877" max="15877" width="14.109375" style="29" customWidth="1"/>
    <col min="15878" max="15878" width="14.44140625" style="29" customWidth="1"/>
    <col min="15879" max="15879" width="10.44140625" style="29" bestFit="1" customWidth="1"/>
    <col min="15880" max="15880" width="10.44140625" style="29" customWidth="1"/>
    <col min="15881" max="15881" width="10.109375" style="29" customWidth="1"/>
    <col min="15882" max="15882" width="10.5546875" style="29" customWidth="1"/>
    <col min="15883" max="15883" width="10.44140625" style="29" bestFit="1" customWidth="1"/>
    <col min="15884" max="16128" width="9.109375" style="29"/>
    <col min="16129" max="16129" width="2.44140625" style="29" customWidth="1"/>
    <col min="16130" max="16130" width="24.44140625" style="29" customWidth="1"/>
    <col min="16131" max="16131" width="15.44140625" style="29" customWidth="1"/>
    <col min="16132" max="16132" width="17.88671875" style="29" customWidth="1"/>
    <col min="16133" max="16133" width="14.109375" style="29" customWidth="1"/>
    <col min="16134" max="16134" width="14.44140625" style="29" customWidth="1"/>
    <col min="16135" max="16135" width="10.44140625" style="29" bestFit="1" customWidth="1"/>
    <col min="16136" max="16136" width="10.44140625" style="29" customWidth="1"/>
    <col min="16137" max="16137" width="10.109375" style="29" customWidth="1"/>
    <col min="16138" max="16138" width="10.5546875" style="29" customWidth="1"/>
    <col min="16139" max="16139" width="10.44140625" style="29" bestFit="1" customWidth="1"/>
    <col min="16140" max="16384" width="9.109375" style="29"/>
  </cols>
  <sheetData>
    <row r="1" spans="1:12" ht="12.75" customHeight="1" x14ac:dyDescent="0.25">
      <c r="A1" s="389" t="s">
        <v>1034</v>
      </c>
      <c r="B1" s="389"/>
      <c r="C1" s="389"/>
      <c r="D1" s="389"/>
      <c r="E1" s="389"/>
      <c r="F1" s="389"/>
      <c r="G1" s="389"/>
      <c r="H1" s="389"/>
      <c r="I1" s="389"/>
      <c r="J1" s="389"/>
      <c r="K1" s="389"/>
    </row>
    <row r="2" spans="1:12" ht="13.8" x14ac:dyDescent="0.25">
      <c r="G2" s="32"/>
      <c r="H2" s="32"/>
      <c r="I2" s="32"/>
      <c r="J2" s="32"/>
      <c r="K2" s="15"/>
    </row>
    <row r="3" spans="1:12" x14ac:dyDescent="0.25">
      <c r="B3" s="390" t="s">
        <v>208</v>
      </c>
      <c r="C3" s="390"/>
      <c r="D3" s="390"/>
      <c r="E3" s="390"/>
      <c r="F3" s="390"/>
      <c r="G3" s="390"/>
      <c r="H3" s="390"/>
      <c r="I3" s="390"/>
      <c r="J3" s="33"/>
    </row>
    <row r="4" spans="1:12" x14ac:dyDescent="0.25">
      <c r="B4" s="34"/>
      <c r="C4" s="35"/>
      <c r="D4" s="35"/>
      <c r="E4" s="35"/>
      <c r="F4" s="36"/>
      <c r="K4" s="37" t="s">
        <v>25</v>
      </c>
    </row>
    <row r="5" spans="1:12" s="30" customFormat="1" ht="39.6" x14ac:dyDescent="0.25">
      <c r="A5" s="38"/>
      <c r="B5" s="39" t="s">
        <v>183</v>
      </c>
      <c r="C5" s="39" t="s">
        <v>209</v>
      </c>
      <c r="D5" s="39" t="s">
        <v>210</v>
      </c>
      <c r="E5" s="39" t="s">
        <v>211</v>
      </c>
      <c r="F5" s="40" t="s">
        <v>212</v>
      </c>
      <c r="G5" s="41" t="s">
        <v>865</v>
      </c>
      <c r="H5" s="41" t="s">
        <v>866</v>
      </c>
      <c r="I5" s="39" t="s">
        <v>867</v>
      </c>
      <c r="J5" s="39" t="s">
        <v>868</v>
      </c>
      <c r="K5" s="39" t="s">
        <v>869</v>
      </c>
    </row>
    <row r="6" spans="1:12" x14ac:dyDescent="0.25">
      <c r="A6" s="42" t="s">
        <v>189</v>
      </c>
      <c r="B6" s="43"/>
      <c r="C6" s="44"/>
      <c r="D6" s="45"/>
      <c r="E6" s="46"/>
      <c r="F6" s="46"/>
      <c r="G6" s="47"/>
      <c r="H6" s="47"/>
      <c r="I6" s="48"/>
      <c r="J6" s="48"/>
      <c r="K6" s="42"/>
      <c r="L6" s="49"/>
    </row>
    <row r="7" spans="1:12" x14ac:dyDescent="0.25">
      <c r="A7" s="42" t="s">
        <v>190</v>
      </c>
      <c r="B7" s="43"/>
      <c r="C7" s="44"/>
      <c r="D7" s="45"/>
      <c r="E7" s="46"/>
      <c r="F7" s="46"/>
      <c r="G7" s="47"/>
      <c r="H7" s="47"/>
      <c r="I7" s="48"/>
      <c r="J7" s="48"/>
      <c r="K7" s="42"/>
      <c r="L7" s="49"/>
    </row>
    <row r="8" spans="1:12" x14ac:dyDescent="0.25">
      <c r="A8" s="42" t="s">
        <v>191</v>
      </c>
      <c r="B8" s="43"/>
      <c r="C8" s="44"/>
      <c r="D8" s="45"/>
      <c r="E8" s="46"/>
      <c r="F8" s="46"/>
      <c r="G8" s="50"/>
      <c r="H8" s="50"/>
      <c r="I8" s="51"/>
      <c r="J8" s="51"/>
      <c r="K8" s="51"/>
      <c r="L8" s="49"/>
    </row>
    <row r="9" spans="1:12" x14ac:dyDescent="0.25">
      <c r="L9" s="49"/>
    </row>
    <row r="10" spans="1:12" x14ac:dyDescent="0.25">
      <c r="A10" s="52"/>
      <c r="C10" s="52"/>
      <c r="D10" s="53"/>
      <c r="E10" s="53"/>
      <c r="F10" s="53"/>
      <c r="G10" s="54"/>
      <c r="H10" s="54"/>
    </row>
  </sheetData>
  <mergeCells count="2">
    <mergeCell ref="A1:K1"/>
    <mergeCell ref="B3:I3"/>
  </mergeCells>
  <printOptions horizontalCentered="1"/>
  <pageMargins left="0.19685039370078741" right="0.19685039370078741"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FDA5A-7358-4D72-A946-891F3B452018}">
  <sheetPr>
    <pageSetUpPr fitToPage="1"/>
  </sheetPr>
  <dimension ref="A1:J134"/>
  <sheetViews>
    <sheetView topLeftCell="A64" zoomScaleNormal="100" workbookViewId="0">
      <selection activeCell="E2" sqref="E2"/>
    </sheetView>
  </sheetViews>
  <sheetFormatPr defaultRowHeight="13.2" x14ac:dyDescent="0.25"/>
  <cols>
    <col min="1" max="1" width="38.88671875" style="189" customWidth="1"/>
    <col min="2" max="2" width="45.88671875" style="190" customWidth="1"/>
    <col min="3" max="3" width="13.6640625" style="357" customWidth="1"/>
    <col min="4" max="4" width="17.44140625" style="192" customWidth="1"/>
    <col min="5" max="5" width="13.88671875" style="195" customWidth="1"/>
    <col min="6" max="6" width="39.5546875" style="10" customWidth="1"/>
    <col min="7" max="7" width="24.109375" style="10" customWidth="1"/>
    <col min="8" max="8" width="21.6640625" style="10" customWidth="1"/>
    <col min="9" max="256" width="8.88671875" style="10"/>
    <col min="257" max="257" width="37.88671875" style="10" customWidth="1"/>
    <col min="258" max="258" width="40.6640625" style="10" customWidth="1"/>
    <col min="259" max="259" width="14.5546875" style="10" customWidth="1"/>
    <col min="260" max="260" width="18" style="10" bestFit="1" customWidth="1"/>
    <col min="261" max="261" width="14" style="10" customWidth="1"/>
    <col min="262" max="262" width="17.33203125" style="10" customWidth="1"/>
    <col min="263" max="263" width="24.109375" style="10" customWidth="1"/>
    <col min="264" max="264" width="21.6640625" style="10" customWidth="1"/>
    <col min="265" max="512" width="8.88671875" style="10"/>
    <col min="513" max="513" width="37.88671875" style="10" customWidth="1"/>
    <col min="514" max="514" width="40.6640625" style="10" customWidth="1"/>
    <col min="515" max="515" width="14.5546875" style="10" customWidth="1"/>
    <col min="516" max="516" width="18" style="10" bestFit="1" customWidth="1"/>
    <col min="517" max="517" width="14" style="10" customWidth="1"/>
    <col min="518" max="518" width="17.33203125" style="10" customWidth="1"/>
    <col min="519" max="519" width="24.109375" style="10" customWidth="1"/>
    <col min="520" max="520" width="21.6640625" style="10" customWidth="1"/>
    <col min="521" max="768" width="8.88671875" style="10"/>
    <col min="769" max="769" width="37.88671875" style="10" customWidth="1"/>
    <col min="770" max="770" width="40.6640625" style="10" customWidth="1"/>
    <col min="771" max="771" width="14.5546875" style="10" customWidth="1"/>
    <col min="772" max="772" width="18" style="10" bestFit="1" customWidth="1"/>
    <col min="773" max="773" width="14" style="10" customWidth="1"/>
    <col min="774" max="774" width="17.33203125" style="10" customWidth="1"/>
    <col min="775" max="775" width="24.109375" style="10" customWidth="1"/>
    <col min="776" max="776" width="21.6640625" style="10" customWidth="1"/>
    <col min="777" max="1024" width="8.88671875" style="10"/>
    <col min="1025" max="1025" width="37.88671875" style="10" customWidth="1"/>
    <col min="1026" max="1026" width="40.6640625" style="10" customWidth="1"/>
    <col min="1027" max="1027" width="14.5546875" style="10" customWidth="1"/>
    <col min="1028" max="1028" width="18" style="10" bestFit="1" customWidth="1"/>
    <col min="1029" max="1029" width="14" style="10" customWidth="1"/>
    <col min="1030" max="1030" width="17.33203125" style="10" customWidth="1"/>
    <col min="1031" max="1031" width="24.109375" style="10" customWidth="1"/>
    <col min="1032" max="1032" width="21.6640625" style="10" customWidth="1"/>
    <col min="1033" max="1280" width="8.88671875" style="10"/>
    <col min="1281" max="1281" width="37.88671875" style="10" customWidth="1"/>
    <col min="1282" max="1282" width="40.6640625" style="10" customWidth="1"/>
    <col min="1283" max="1283" width="14.5546875" style="10" customWidth="1"/>
    <col min="1284" max="1284" width="18" style="10" bestFit="1" customWidth="1"/>
    <col min="1285" max="1285" width="14" style="10" customWidth="1"/>
    <col min="1286" max="1286" width="17.33203125" style="10" customWidth="1"/>
    <col min="1287" max="1287" width="24.109375" style="10" customWidth="1"/>
    <col min="1288" max="1288" width="21.6640625" style="10" customWidth="1"/>
    <col min="1289" max="1536" width="8.88671875" style="10"/>
    <col min="1537" max="1537" width="37.88671875" style="10" customWidth="1"/>
    <col min="1538" max="1538" width="40.6640625" style="10" customWidth="1"/>
    <col min="1539" max="1539" width="14.5546875" style="10" customWidth="1"/>
    <col min="1540" max="1540" width="18" style="10" bestFit="1" customWidth="1"/>
    <col min="1541" max="1541" width="14" style="10" customWidth="1"/>
    <col min="1542" max="1542" width="17.33203125" style="10" customWidth="1"/>
    <col min="1543" max="1543" width="24.109375" style="10" customWidth="1"/>
    <col min="1544" max="1544" width="21.6640625" style="10" customWidth="1"/>
    <col min="1545" max="1792" width="8.88671875" style="10"/>
    <col min="1793" max="1793" width="37.88671875" style="10" customWidth="1"/>
    <col min="1794" max="1794" width="40.6640625" style="10" customWidth="1"/>
    <col min="1795" max="1795" width="14.5546875" style="10" customWidth="1"/>
    <col min="1796" max="1796" width="18" style="10" bestFit="1" customWidth="1"/>
    <col min="1797" max="1797" width="14" style="10" customWidth="1"/>
    <col min="1798" max="1798" width="17.33203125" style="10" customWidth="1"/>
    <col min="1799" max="1799" width="24.109375" style="10" customWidth="1"/>
    <col min="1800" max="1800" width="21.6640625" style="10" customWidth="1"/>
    <col min="1801" max="2048" width="8.88671875" style="10"/>
    <col min="2049" max="2049" width="37.88671875" style="10" customWidth="1"/>
    <col min="2050" max="2050" width="40.6640625" style="10" customWidth="1"/>
    <col min="2051" max="2051" width="14.5546875" style="10" customWidth="1"/>
    <col min="2052" max="2052" width="18" style="10" bestFit="1" customWidth="1"/>
    <col min="2053" max="2053" width="14" style="10" customWidth="1"/>
    <col min="2054" max="2054" width="17.33203125" style="10" customWidth="1"/>
    <col min="2055" max="2055" width="24.109375" style="10" customWidth="1"/>
    <col min="2056" max="2056" width="21.6640625" style="10" customWidth="1"/>
    <col min="2057" max="2304" width="8.88671875" style="10"/>
    <col min="2305" max="2305" width="37.88671875" style="10" customWidth="1"/>
    <col min="2306" max="2306" width="40.6640625" style="10" customWidth="1"/>
    <col min="2307" max="2307" width="14.5546875" style="10" customWidth="1"/>
    <col min="2308" max="2308" width="18" style="10" bestFit="1" customWidth="1"/>
    <col min="2309" max="2309" width="14" style="10" customWidth="1"/>
    <col min="2310" max="2310" width="17.33203125" style="10" customWidth="1"/>
    <col min="2311" max="2311" width="24.109375" style="10" customWidth="1"/>
    <col min="2312" max="2312" width="21.6640625" style="10" customWidth="1"/>
    <col min="2313" max="2560" width="8.88671875" style="10"/>
    <col min="2561" max="2561" width="37.88671875" style="10" customWidth="1"/>
    <col min="2562" max="2562" width="40.6640625" style="10" customWidth="1"/>
    <col min="2563" max="2563" width="14.5546875" style="10" customWidth="1"/>
    <col min="2564" max="2564" width="18" style="10" bestFit="1" customWidth="1"/>
    <col min="2565" max="2565" width="14" style="10" customWidth="1"/>
    <col min="2566" max="2566" width="17.33203125" style="10" customWidth="1"/>
    <col min="2567" max="2567" width="24.109375" style="10" customWidth="1"/>
    <col min="2568" max="2568" width="21.6640625" style="10" customWidth="1"/>
    <col min="2569" max="2816" width="8.88671875" style="10"/>
    <col min="2817" max="2817" width="37.88671875" style="10" customWidth="1"/>
    <col min="2818" max="2818" width="40.6640625" style="10" customWidth="1"/>
    <col min="2819" max="2819" width="14.5546875" style="10" customWidth="1"/>
    <col min="2820" max="2820" width="18" style="10" bestFit="1" customWidth="1"/>
    <col min="2821" max="2821" width="14" style="10" customWidth="1"/>
    <col min="2822" max="2822" width="17.33203125" style="10" customWidth="1"/>
    <col min="2823" max="2823" width="24.109375" style="10" customWidth="1"/>
    <col min="2824" max="2824" width="21.6640625" style="10" customWidth="1"/>
    <col min="2825" max="3072" width="8.88671875" style="10"/>
    <col min="3073" max="3073" width="37.88671875" style="10" customWidth="1"/>
    <col min="3074" max="3074" width="40.6640625" style="10" customWidth="1"/>
    <col min="3075" max="3075" width="14.5546875" style="10" customWidth="1"/>
    <col min="3076" max="3076" width="18" style="10" bestFit="1" customWidth="1"/>
    <col min="3077" max="3077" width="14" style="10" customWidth="1"/>
    <col min="3078" max="3078" width="17.33203125" style="10" customWidth="1"/>
    <col min="3079" max="3079" width="24.109375" style="10" customWidth="1"/>
    <col min="3080" max="3080" width="21.6640625" style="10" customWidth="1"/>
    <col min="3081" max="3328" width="8.88671875" style="10"/>
    <col min="3329" max="3329" width="37.88671875" style="10" customWidth="1"/>
    <col min="3330" max="3330" width="40.6640625" style="10" customWidth="1"/>
    <col min="3331" max="3331" width="14.5546875" style="10" customWidth="1"/>
    <col min="3332" max="3332" width="18" style="10" bestFit="1" customWidth="1"/>
    <col min="3333" max="3333" width="14" style="10" customWidth="1"/>
    <col min="3334" max="3334" width="17.33203125" style="10" customWidth="1"/>
    <col min="3335" max="3335" width="24.109375" style="10" customWidth="1"/>
    <col min="3336" max="3336" width="21.6640625" style="10" customWidth="1"/>
    <col min="3337" max="3584" width="8.88671875" style="10"/>
    <col min="3585" max="3585" width="37.88671875" style="10" customWidth="1"/>
    <col min="3586" max="3586" width="40.6640625" style="10" customWidth="1"/>
    <col min="3587" max="3587" width="14.5546875" style="10" customWidth="1"/>
    <col min="3588" max="3588" width="18" style="10" bestFit="1" customWidth="1"/>
    <col min="3589" max="3589" width="14" style="10" customWidth="1"/>
    <col min="3590" max="3590" width="17.33203125" style="10" customWidth="1"/>
    <col min="3591" max="3591" width="24.109375" style="10" customWidth="1"/>
    <col min="3592" max="3592" width="21.6640625" style="10" customWidth="1"/>
    <col min="3593" max="3840" width="8.88671875" style="10"/>
    <col min="3841" max="3841" width="37.88671875" style="10" customWidth="1"/>
    <col min="3842" max="3842" width="40.6640625" style="10" customWidth="1"/>
    <col min="3843" max="3843" width="14.5546875" style="10" customWidth="1"/>
    <col min="3844" max="3844" width="18" style="10" bestFit="1" customWidth="1"/>
    <col min="3845" max="3845" width="14" style="10" customWidth="1"/>
    <col min="3846" max="3846" width="17.33203125" style="10" customWidth="1"/>
    <col min="3847" max="3847" width="24.109375" style="10" customWidth="1"/>
    <col min="3848" max="3848" width="21.6640625" style="10" customWidth="1"/>
    <col min="3849" max="4096" width="8.88671875" style="10"/>
    <col min="4097" max="4097" width="37.88671875" style="10" customWidth="1"/>
    <col min="4098" max="4098" width="40.6640625" style="10" customWidth="1"/>
    <col min="4099" max="4099" width="14.5546875" style="10" customWidth="1"/>
    <col min="4100" max="4100" width="18" style="10" bestFit="1" customWidth="1"/>
    <col min="4101" max="4101" width="14" style="10" customWidth="1"/>
    <col min="4102" max="4102" width="17.33203125" style="10" customWidth="1"/>
    <col min="4103" max="4103" width="24.109375" style="10" customWidth="1"/>
    <col min="4104" max="4104" width="21.6640625" style="10" customWidth="1"/>
    <col min="4105" max="4352" width="8.88671875" style="10"/>
    <col min="4353" max="4353" width="37.88671875" style="10" customWidth="1"/>
    <col min="4354" max="4354" width="40.6640625" style="10" customWidth="1"/>
    <col min="4355" max="4355" width="14.5546875" style="10" customWidth="1"/>
    <col min="4356" max="4356" width="18" style="10" bestFit="1" customWidth="1"/>
    <col min="4357" max="4357" width="14" style="10" customWidth="1"/>
    <col min="4358" max="4358" width="17.33203125" style="10" customWidth="1"/>
    <col min="4359" max="4359" width="24.109375" style="10" customWidth="1"/>
    <col min="4360" max="4360" width="21.6640625" style="10" customWidth="1"/>
    <col min="4361" max="4608" width="8.88671875" style="10"/>
    <col min="4609" max="4609" width="37.88671875" style="10" customWidth="1"/>
    <col min="4610" max="4610" width="40.6640625" style="10" customWidth="1"/>
    <col min="4611" max="4611" width="14.5546875" style="10" customWidth="1"/>
    <col min="4612" max="4612" width="18" style="10" bestFit="1" customWidth="1"/>
    <col min="4613" max="4613" width="14" style="10" customWidth="1"/>
    <col min="4614" max="4614" width="17.33203125" style="10" customWidth="1"/>
    <col min="4615" max="4615" width="24.109375" style="10" customWidth="1"/>
    <col min="4616" max="4616" width="21.6640625" style="10" customWidth="1"/>
    <col min="4617" max="4864" width="8.88671875" style="10"/>
    <col min="4865" max="4865" width="37.88671875" style="10" customWidth="1"/>
    <col min="4866" max="4866" width="40.6640625" style="10" customWidth="1"/>
    <col min="4867" max="4867" width="14.5546875" style="10" customWidth="1"/>
    <col min="4868" max="4868" width="18" style="10" bestFit="1" customWidth="1"/>
    <col min="4869" max="4869" width="14" style="10" customWidth="1"/>
    <col min="4870" max="4870" width="17.33203125" style="10" customWidth="1"/>
    <col min="4871" max="4871" width="24.109375" style="10" customWidth="1"/>
    <col min="4872" max="4872" width="21.6640625" style="10" customWidth="1"/>
    <col min="4873" max="5120" width="8.88671875" style="10"/>
    <col min="5121" max="5121" width="37.88671875" style="10" customWidth="1"/>
    <col min="5122" max="5122" width="40.6640625" style="10" customWidth="1"/>
    <col min="5123" max="5123" width="14.5546875" style="10" customWidth="1"/>
    <col min="5124" max="5124" width="18" style="10" bestFit="1" customWidth="1"/>
    <col min="5125" max="5125" width="14" style="10" customWidth="1"/>
    <col min="5126" max="5126" width="17.33203125" style="10" customWidth="1"/>
    <col min="5127" max="5127" width="24.109375" style="10" customWidth="1"/>
    <col min="5128" max="5128" width="21.6640625" style="10" customWidth="1"/>
    <col min="5129" max="5376" width="8.88671875" style="10"/>
    <col min="5377" max="5377" width="37.88671875" style="10" customWidth="1"/>
    <col min="5378" max="5378" width="40.6640625" style="10" customWidth="1"/>
    <col min="5379" max="5379" width="14.5546875" style="10" customWidth="1"/>
    <col min="5380" max="5380" width="18" style="10" bestFit="1" customWidth="1"/>
    <col min="5381" max="5381" width="14" style="10" customWidth="1"/>
    <col min="5382" max="5382" width="17.33203125" style="10" customWidth="1"/>
    <col min="5383" max="5383" width="24.109375" style="10" customWidth="1"/>
    <col min="5384" max="5384" width="21.6640625" style="10" customWidth="1"/>
    <col min="5385" max="5632" width="8.88671875" style="10"/>
    <col min="5633" max="5633" width="37.88671875" style="10" customWidth="1"/>
    <col min="5634" max="5634" width="40.6640625" style="10" customWidth="1"/>
    <col min="5635" max="5635" width="14.5546875" style="10" customWidth="1"/>
    <col min="5636" max="5636" width="18" style="10" bestFit="1" customWidth="1"/>
    <col min="5637" max="5637" width="14" style="10" customWidth="1"/>
    <col min="5638" max="5638" width="17.33203125" style="10" customWidth="1"/>
    <col min="5639" max="5639" width="24.109375" style="10" customWidth="1"/>
    <col min="5640" max="5640" width="21.6640625" style="10" customWidth="1"/>
    <col min="5641" max="5888" width="8.88671875" style="10"/>
    <col min="5889" max="5889" width="37.88671875" style="10" customWidth="1"/>
    <col min="5890" max="5890" width="40.6640625" style="10" customWidth="1"/>
    <col min="5891" max="5891" width="14.5546875" style="10" customWidth="1"/>
    <col min="5892" max="5892" width="18" style="10" bestFit="1" customWidth="1"/>
    <col min="5893" max="5893" width="14" style="10" customWidth="1"/>
    <col min="5894" max="5894" width="17.33203125" style="10" customWidth="1"/>
    <col min="5895" max="5895" width="24.109375" style="10" customWidth="1"/>
    <col min="5896" max="5896" width="21.6640625" style="10" customWidth="1"/>
    <col min="5897" max="6144" width="8.88671875" style="10"/>
    <col min="6145" max="6145" width="37.88671875" style="10" customWidth="1"/>
    <col min="6146" max="6146" width="40.6640625" style="10" customWidth="1"/>
    <col min="6147" max="6147" width="14.5546875" style="10" customWidth="1"/>
    <col min="6148" max="6148" width="18" style="10" bestFit="1" customWidth="1"/>
    <col min="6149" max="6149" width="14" style="10" customWidth="1"/>
    <col min="6150" max="6150" width="17.33203125" style="10" customWidth="1"/>
    <col min="6151" max="6151" width="24.109375" style="10" customWidth="1"/>
    <col min="6152" max="6152" width="21.6640625" style="10" customWidth="1"/>
    <col min="6153" max="6400" width="8.88671875" style="10"/>
    <col min="6401" max="6401" width="37.88671875" style="10" customWidth="1"/>
    <col min="6402" max="6402" width="40.6640625" style="10" customWidth="1"/>
    <col min="6403" max="6403" width="14.5546875" style="10" customWidth="1"/>
    <col min="6404" max="6404" width="18" style="10" bestFit="1" customWidth="1"/>
    <col min="6405" max="6405" width="14" style="10" customWidth="1"/>
    <col min="6406" max="6406" width="17.33203125" style="10" customWidth="1"/>
    <col min="6407" max="6407" width="24.109375" style="10" customWidth="1"/>
    <col min="6408" max="6408" width="21.6640625" style="10" customWidth="1"/>
    <col min="6409" max="6656" width="8.88671875" style="10"/>
    <col min="6657" max="6657" width="37.88671875" style="10" customWidth="1"/>
    <col min="6658" max="6658" width="40.6640625" style="10" customWidth="1"/>
    <col min="6659" max="6659" width="14.5546875" style="10" customWidth="1"/>
    <col min="6660" max="6660" width="18" style="10" bestFit="1" customWidth="1"/>
    <col min="6661" max="6661" width="14" style="10" customWidth="1"/>
    <col min="6662" max="6662" width="17.33203125" style="10" customWidth="1"/>
    <col min="6663" max="6663" width="24.109375" style="10" customWidth="1"/>
    <col min="6664" max="6664" width="21.6640625" style="10" customWidth="1"/>
    <col min="6665" max="6912" width="8.88671875" style="10"/>
    <col min="6913" max="6913" width="37.88671875" style="10" customWidth="1"/>
    <col min="6914" max="6914" width="40.6640625" style="10" customWidth="1"/>
    <col min="6915" max="6915" width="14.5546875" style="10" customWidth="1"/>
    <col min="6916" max="6916" width="18" style="10" bestFit="1" customWidth="1"/>
    <col min="6917" max="6917" width="14" style="10" customWidth="1"/>
    <col min="6918" max="6918" width="17.33203125" style="10" customWidth="1"/>
    <col min="6919" max="6919" width="24.109375" style="10" customWidth="1"/>
    <col min="6920" max="6920" width="21.6640625" style="10" customWidth="1"/>
    <col min="6921" max="7168" width="8.88671875" style="10"/>
    <col min="7169" max="7169" width="37.88671875" style="10" customWidth="1"/>
    <col min="7170" max="7170" width="40.6640625" style="10" customWidth="1"/>
    <col min="7171" max="7171" width="14.5546875" style="10" customWidth="1"/>
    <col min="7172" max="7172" width="18" style="10" bestFit="1" customWidth="1"/>
    <col min="7173" max="7173" width="14" style="10" customWidth="1"/>
    <col min="7174" max="7174" width="17.33203125" style="10" customWidth="1"/>
    <col min="7175" max="7175" width="24.109375" style="10" customWidth="1"/>
    <col min="7176" max="7176" width="21.6640625" style="10" customWidth="1"/>
    <col min="7177" max="7424" width="8.88671875" style="10"/>
    <col min="7425" max="7425" width="37.88671875" style="10" customWidth="1"/>
    <col min="7426" max="7426" width="40.6640625" style="10" customWidth="1"/>
    <col min="7427" max="7427" width="14.5546875" style="10" customWidth="1"/>
    <col min="7428" max="7428" width="18" style="10" bestFit="1" customWidth="1"/>
    <col min="7429" max="7429" width="14" style="10" customWidth="1"/>
    <col min="7430" max="7430" width="17.33203125" style="10" customWidth="1"/>
    <col min="7431" max="7431" width="24.109375" style="10" customWidth="1"/>
    <col min="7432" max="7432" width="21.6640625" style="10" customWidth="1"/>
    <col min="7433" max="7680" width="8.88671875" style="10"/>
    <col min="7681" max="7681" width="37.88671875" style="10" customWidth="1"/>
    <col min="7682" max="7682" width="40.6640625" style="10" customWidth="1"/>
    <col min="7683" max="7683" width="14.5546875" style="10" customWidth="1"/>
    <col min="7684" max="7684" width="18" style="10" bestFit="1" customWidth="1"/>
    <col min="7685" max="7685" width="14" style="10" customWidth="1"/>
    <col min="7686" max="7686" width="17.33203125" style="10" customWidth="1"/>
    <col min="7687" max="7687" width="24.109375" style="10" customWidth="1"/>
    <col min="7688" max="7688" width="21.6640625" style="10" customWidth="1"/>
    <col min="7689" max="7936" width="8.88671875" style="10"/>
    <col min="7937" max="7937" width="37.88671875" style="10" customWidth="1"/>
    <col min="7938" max="7938" width="40.6640625" style="10" customWidth="1"/>
    <col min="7939" max="7939" width="14.5546875" style="10" customWidth="1"/>
    <col min="7940" max="7940" width="18" style="10" bestFit="1" customWidth="1"/>
    <col min="7941" max="7941" width="14" style="10" customWidth="1"/>
    <col min="7942" max="7942" width="17.33203125" style="10" customWidth="1"/>
    <col min="7943" max="7943" width="24.109375" style="10" customWidth="1"/>
    <col min="7944" max="7944" width="21.6640625" style="10" customWidth="1"/>
    <col min="7945" max="8192" width="8.88671875" style="10"/>
    <col min="8193" max="8193" width="37.88671875" style="10" customWidth="1"/>
    <col min="8194" max="8194" width="40.6640625" style="10" customWidth="1"/>
    <col min="8195" max="8195" width="14.5546875" style="10" customWidth="1"/>
    <col min="8196" max="8196" width="18" style="10" bestFit="1" customWidth="1"/>
    <col min="8197" max="8197" width="14" style="10" customWidth="1"/>
    <col min="8198" max="8198" width="17.33203125" style="10" customWidth="1"/>
    <col min="8199" max="8199" width="24.109375" style="10" customWidth="1"/>
    <col min="8200" max="8200" width="21.6640625" style="10" customWidth="1"/>
    <col min="8201" max="8448" width="8.88671875" style="10"/>
    <col min="8449" max="8449" width="37.88671875" style="10" customWidth="1"/>
    <col min="8450" max="8450" width="40.6640625" style="10" customWidth="1"/>
    <col min="8451" max="8451" width="14.5546875" style="10" customWidth="1"/>
    <col min="8452" max="8452" width="18" style="10" bestFit="1" customWidth="1"/>
    <col min="8453" max="8453" width="14" style="10" customWidth="1"/>
    <col min="8454" max="8454" width="17.33203125" style="10" customWidth="1"/>
    <col min="8455" max="8455" width="24.109375" style="10" customWidth="1"/>
    <col min="8456" max="8456" width="21.6640625" style="10" customWidth="1"/>
    <col min="8457" max="8704" width="8.88671875" style="10"/>
    <col min="8705" max="8705" width="37.88671875" style="10" customWidth="1"/>
    <col min="8706" max="8706" width="40.6640625" style="10" customWidth="1"/>
    <col min="8707" max="8707" width="14.5546875" style="10" customWidth="1"/>
    <col min="8708" max="8708" width="18" style="10" bestFit="1" customWidth="1"/>
    <col min="8709" max="8709" width="14" style="10" customWidth="1"/>
    <col min="8710" max="8710" width="17.33203125" style="10" customWidth="1"/>
    <col min="8711" max="8711" width="24.109375" style="10" customWidth="1"/>
    <col min="8712" max="8712" width="21.6640625" style="10" customWidth="1"/>
    <col min="8713" max="8960" width="8.88671875" style="10"/>
    <col min="8961" max="8961" width="37.88671875" style="10" customWidth="1"/>
    <col min="8962" max="8962" width="40.6640625" style="10" customWidth="1"/>
    <col min="8963" max="8963" width="14.5546875" style="10" customWidth="1"/>
    <col min="8964" max="8964" width="18" style="10" bestFit="1" customWidth="1"/>
    <col min="8965" max="8965" width="14" style="10" customWidth="1"/>
    <col min="8966" max="8966" width="17.33203125" style="10" customWidth="1"/>
    <col min="8967" max="8967" width="24.109375" style="10" customWidth="1"/>
    <col min="8968" max="8968" width="21.6640625" style="10" customWidth="1"/>
    <col min="8969" max="9216" width="8.88671875" style="10"/>
    <col min="9217" max="9217" width="37.88671875" style="10" customWidth="1"/>
    <col min="9218" max="9218" width="40.6640625" style="10" customWidth="1"/>
    <col min="9219" max="9219" width="14.5546875" style="10" customWidth="1"/>
    <col min="9220" max="9220" width="18" style="10" bestFit="1" customWidth="1"/>
    <col min="9221" max="9221" width="14" style="10" customWidth="1"/>
    <col min="9222" max="9222" width="17.33203125" style="10" customWidth="1"/>
    <col min="9223" max="9223" width="24.109375" style="10" customWidth="1"/>
    <col min="9224" max="9224" width="21.6640625" style="10" customWidth="1"/>
    <col min="9225" max="9472" width="8.88671875" style="10"/>
    <col min="9473" max="9473" width="37.88671875" style="10" customWidth="1"/>
    <col min="9474" max="9474" width="40.6640625" style="10" customWidth="1"/>
    <col min="9475" max="9475" width="14.5546875" style="10" customWidth="1"/>
    <col min="9476" max="9476" width="18" style="10" bestFit="1" customWidth="1"/>
    <col min="9477" max="9477" width="14" style="10" customWidth="1"/>
    <col min="9478" max="9478" width="17.33203125" style="10" customWidth="1"/>
    <col min="9479" max="9479" width="24.109375" style="10" customWidth="1"/>
    <col min="9480" max="9480" width="21.6640625" style="10" customWidth="1"/>
    <col min="9481" max="9728" width="8.88671875" style="10"/>
    <col min="9729" max="9729" width="37.88671875" style="10" customWidth="1"/>
    <col min="9730" max="9730" width="40.6640625" style="10" customWidth="1"/>
    <col min="9731" max="9731" width="14.5546875" style="10" customWidth="1"/>
    <col min="9732" max="9732" width="18" style="10" bestFit="1" customWidth="1"/>
    <col min="9733" max="9733" width="14" style="10" customWidth="1"/>
    <col min="9734" max="9734" width="17.33203125" style="10" customWidth="1"/>
    <col min="9735" max="9735" width="24.109375" style="10" customWidth="1"/>
    <col min="9736" max="9736" width="21.6640625" style="10" customWidth="1"/>
    <col min="9737" max="9984" width="8.88671875" style="10"/>
    <col min="9985" max="9985" width="37.88671875" style="10" customWidth="1"/>
    <col min="9986" max="9986" width="40.6640625" style="10" customWidth="1"/>
    <col min="9987" max="9987" width="14.5546875" style="10" customWidth="1"/>
    <col min="9988" max="9988" width="18" style="10" bestFit="1" customWidth="1"/>
    <col min="9989" max="9989" width="14" style="10" customWidth="1"/>
    <col min="9990" max="9990" width="17.33203125" style="10" customWidth="1"/>
    <col min="9991" max="9991" width="24.109375" style="10" customWidth="1"/>
    <col min="9992" max="9992" width="21.6640625" style="10" customWidth="1"/>
    <col min="9993" max="10240" width="8.88671875" style="10"/>
    <col min="10241" max="10241" width="37.88671875" style="10" customWidth="1"/>
    <col min="10242" max="10242" width="40.6640625" style="10" customWidth="1"/>
    <col min="10243" max="10243" width="14.5546875" style="10" customWidth="1"/>
    <col min="10244" max="10244" width="18" style="10" bestFit="1" customWidth="1"/>
    <col min="10245" max="10245" width="14" style="10" customWidth="1"/>
    <col min="10246" max="10246" width="17.33203125" style="10" customWidth="1"/>
    <col min="10247" max="10247" width="24.109375" style="10" customWidth="1"/>
    <col min="10248" max="10248" width="21.6640625" style="10" customWidth="1"/>
    <col min="10249" max="10496" width="8.88671875" style="10"/>
    <col min="10497" max="10497" width="37.88671875" style="10" customWidth="1"/>
    <col min="10498" max="10498" width="40.6640625" style="10" customWidth="1"/>
    <col min="10499" max="10499" width="14.5546875" style="10" customWidth="1"/>
    <col min="10500" max="10500" width="18" style="10" bestFit="1" customWidth="1"/>
    <col min="10501" max="10501" width="14" style="10" customWidth="1"/>
    <col min="10502" max="10502" width="17.33203125" style="10" customWidth="1"/>
    <col min="10503" max="10503" width="24.109375" style="10" customWidth="1"/>
    <col min="10504" max="10504" width="21.6640625" style="10" customWidth="1"/>
    <col min="10505" max="10752" width="8.88671875" style="10"/>
    <col min="10753" max="10753" width="37.88671875" style="10" customWidth="1"/>
    <col min="10754" max="10754" width="40.6640625" style="10" customWidth="1"/>
    <col min="10755" max="10755" width="14.5546875" style="10" customWidth="1"/>
    <col min="10756" max="10756" width="18" style="10" bestFit="1" customWidth="1"/>
    <col min="10757" max="10757" width="14" style="10" customWidth="1"/>
    <col min="10758" max="10758" width="17.33203125" style="10" customWidth="1"/>
    <col min="10759" max="10759" width="24.109375" style="10" customWidth="1"/>
    <col min="10760" max="10760" width="21.6640625" style="10" customWidth="1"/>
    <col min="10761" max="11008" width="8.88671875" style="10"/>
    <col min="11009" max="11009" width="37.88671875" style="10" customWidth="1"/>
    <col min="11010" max="11010" width="40.6640625" style="10" customWidth="1"/>
    <col min="11011" max="11011" width="14.5546875" style="10" customWidth="1"/>
    <col min="11012" max="11012" width="18" style="10" bestFit="1" customWidth="1"/>
    <col min="11013" max="11013" width="14" style="10" customWidth="1"/>
    <col min="11014" max="11014" width="17.33203125" style="10" customWidth="1"/>
    <col min="11015" max="11015" width="24.109375" style="10" customWidth="1"/>
    <col min="11016" max="11016" width="21.6640625" style="10" customWidth="1"/>
    <col min="11017" max="11264" width="8.88671875" style="10"/>
    <col min="11265" max="11265" width="37.88671875" style="10" customWidth="1"/>
    <col min="11266" max="11266" width="40.6640625" style="10" customWidth="1"/>
    <col min="11267" max="11267" width="14.5546875" style="10" customWidth="1"/>
    <col min="11268" max="11268" width="18" style="10" bestFit="1" customWidth="1"/>
    <col min="11269" max="11269" width="14" style="10" customWidth="1"/>
    <col min="11270" max="11270" width="17.33203125" style="10" customWidth="1"/>
    <col min="11271" max="11271" width="24.109375" style="10" customWidth="1"/>
    <col min="11272" max="11272" width="21.6640625" style="10" customWidth="1"/>
    <col min="11273" max="11520" width="8.88671875" style="10"/>
    <col min="11521" max="11521" width="37.88671875" style="10" customWidth="1"/>
    <col min="11522" max="11522" width="40.6640625" style="10" customWidth="1"/>
    <col min="11523" max="11523" width="14.5546875" style="10" customWidth="1"/>
    <col min="11524" max="11524" width="18" style="10" bestFit="1" customWidth="1"/>
    <col min="11525" max="11525" width="14" style="10" customWidth="1"/>
    <col min="11526" max="11526" width="17.33203125" style="10" customWidth="1"/>
    <col min="11527" max="11527" width="24.109375" style="10" customWidth="1"/>
    <col min="11528" max="11528" width="21.6640625" style="10" customWidth="1"/>
    <col min="11529" max="11776" width="8.88671875" style="10"/>
    <col min="11777" max="11777" width="37.88671875" style="10" customWidth="1"/>
    <col min="11778" max="11778" width="40.6640625" style="10" customWidth="1"/>
    <col min="11779" max="11779" width="14.5546875" style="10" customWidth="1"/>
    <col min="11780" max="11780" width="18" style="10" bestFit="1" customWidth="1"/>
    <col min="11781" max="11781" width="14" style="10" customWidth="1"/>
    <col min="11782" max="11782" width="17.33203125" style="10" customWidth="1"/>
    <col min="11783" max="11783" width="24.109375" style="10" customWidth="1"/>
    <col min="11784" max="11784" width="21.6640625" style="10" customWidth="1"/>
    <col min="11785" max="12032" width="8.88671875" style="10"/>
    <col min="12033" max="12033" width="37.88671875" style="10" customWidth="1"/>
    <col min="12034" max="12034" width="40.6640625" style="10" customWidth="1"/>
    <col min="12035" max="12035" width="14.5546875" style="10" customWidth="1"/>
    <col min="12036" max="12036" width="18" style="10" bestFit="1" customWidth="1"/>
    <col min="12037" max="12037" width="14" style="10" customWidth="1"/>
    <col min="12038" max="12038" width="17.33203125" style="10" customWidth="1"/>
    <col min="12039" max="12039" width="24.109375" style="10" customWidth="1"/>
    <col min="12040" max="12040" width="21.6640625" style="10" customWidth="1"/>
    <col min="12041" max="12288" width="8.88671875" style="10"/>
    <col min="12289" max="12289" width="37.88671875" style="10" customWidth="1"/>
    <col min="12290" max="12290" width="40.6640625" style="10" customWidth="1"/>
    <col min="12291" max="12291" width="14.5546875" style="10" customWidth="1"/>
    <col min="12292" max="12292" width="18" style="10" bestFit="1" customWidth="1"/>
    <col min="12293" max="12293" width="14" style="10" customWidth="1"/>
    <col min="12294" max="12294" width="17.33203125" style="10" customWidth="1"/>
    <col min="12295" max="12295" width="24.109375" style="10" customWidth="1"/>
    <col min="12296" max="12296" width="21.6640625" style="10" customWidth="1"/>
    <col min="12297" max="12544" width="8.88671875" style="10"/>
    <col min="12545" max="12545" width="37.88671875" style="10" customWidth="1"/>
    <col min="12546" max="12546" width="40.6640625" style="10" customWidth="1"/>
    <col min="12547" max="12547" width="14.5546875" style="10" customWidth="1"/>
    <col min="12548" max="12548" width="18" style="10" bestFit="1" customWidth="1"/>
    <col min="12549" max="12549" width="14" style="10" customWidth="1"/>
    <col min="12550" max="12550" width="17.33203125" style="10" customWidth="1"/>
    <col min="12551" max="12551" width="24.109375" style="10" customWidth="1"/>
    <col min="12552" max="12552" width="21.6640625" style="10" customWidth="1"/>
    <col min="12553" max="12800" width="8.88671875" style="10"/>
    <col min="12801" max="12801" width="37.88671875" style="10" customWidth="1"/>
    <col min="12802" max="12802" width="40.6640625" style="10" customWidth="1"/>
    <col min="12803" max="12803" width="14.5546875" style="10" customWidth="1"/>
    <col min="12804" max="12804" width="18" style="10" bestFit="1" customWidth="1"/>
    <col min="12805" max="12805" width="14" style="10" customWidth="1"/>
    <col min="12806" max="12806" width="17.33203125" style="10" customWidth="1"/>
    <col min="12807" max="12807" width="24.109375" style="10" customWidth="1"/>
    <col min="12808" max="12808" width="21.6640625" style="10" customWidth="1"/>
    <col min="12809" max="13056" width="8.88671875" style="10"/>
    <col min="13057" max="13057" width="37.88671875" style="10" customWidth="1"/>
    <col min="13058" max="13058" width="40.6640625" style="10" customWidth="1"/>
    <col min="13059" max="13059" width="14.5546875" style="10" customWidth="1"/>
    <col min="13060" max="13060" width="18" style="10" bestFit="1" customWidth="1"/>
    <col min="13061" max="13061" width="14" style="10" customWidth="1"/>
    <col min="13062" max="13062" width="17.33203125" style="10" customWidth="1"/>
    <col min="13063" max="13063" width="24.109375" style="10" customWidth="1"/>
    <col min="13064" max="13064" width="21.6640625" style="10" customWidth="1"/>
    <col min="13065" max="13312" width="8.88671875" style="10"/>
    <col min="13313" max="13313" width="37.88671875" style="10" customWidth="1"/>
    <col min="13314" max="13314" width="40.6640625" style="10" customWidth="1"/>
    <col min="13315" max="13315" width="14.5546875" style="10" customWidth="1"/>
    <col min="13316" max="13316" width="18" style="10" bestFit="1" customWidth="1"/>
    <col min="13317" max="13317" width="14" style="10" customWidth="1"/>
    <col min="13318" max="13318" width="17.33203125" style="10" customWidth="1"/>
    <col min="13319" max="13319" width="24.109375" style="10" customWidth="1"/>
    <col min="13320" max="13320" width="21.6640625" style="10" customWidth="1"/>
    <col min="13321" max="13568" width="8.88671875" style="10"/>
    <col min="13569" max="13569" width="37.88671875" style="10" customWidth="1"/>
    <col min="13570" max="13570" width="40.6640625" style="10" customWidth="1"/>
    <col min="13571" max="13571" width="14.5546875" style="10" customWidth="1"/>
    <col min="13572" max="13572" width="18" style="10" bestFit="1" customWidth="1"/>
    <col min="13573" max="13573" width="14" style="10" customWidth="1"/>
    <col min="13574" max="13574" width="17.33203125" style="10" customWidth="1"/>
    <col min="13575" max="13575" width="24.109375" style="10" customWidth="1"/>
    <col min="13576" max="13576" width="21.6640625" style="10" customWidth="1"/>
    <col min="13577" max="13824" width="8.88671875" style="10"/>
    <col min="13825" max="13825" width="37.88671875" style="10" customWidth="1"/>
    <col min="13826" max="13826" width="40.6640625" style="10" customWidth="1"/>
    <col min="13827" max="13827" width="14.5546875" style="10" customWidth="1"/>
    <col min="13828" max="13828" width="18" style="10" bestFit="1" customWidth="1"/>
    <col min="13829" max="13829" width="14" style="10" customWidth="1"/>
    <col min="13830" max="13830" width="17.33203125" style="10" customWidth="1"/>
    <col min="13831" max="13831" width="24.109375" style="10" customWidth="1"/>
    <col min="13832" max="13832" width="21.6640625" style="10" customWidth="1"/>
    <col min="13833" max="14080" width="8.88671875" style="10"/>
    <col min="14081" max="14081" width="37.88671875" style="10" customWidth="1"/>
    <col min="14082" max="14082" width="40.6640625" style="10" customWidth="1"/>
    <col min="14083" max="14083" width="14.5546875" style="10" customWidth="1"/>
    <col min="14084" max="14084" width="18" style="10" bestFit="1" customWidth="1"/>
    <col min="14085" max="14085" width="14" style="10" customWidth="1"/>
    <col min="14086" max="14086" width="17.33203125" style="10" customWidth="1"/>
    <col min="14087" max="14087" width="24.109375" style="10" customWidth="1"/>
    <col min="14088" max="14088" width="21.6640625" style="10" customWidth="1"/>
    <col min="14089" max="14336" width="8.88671875" style="10"/>
    <col min="14337" max="14337" width="37.88671875" style="10" customWidth="1"/>
    <col min="14338" max="14338" width="40.6640625" style="10" customWidth="1"/>
    <col min="14339" max="14339" width="14.5546875" style="10" customWidth="1"/>
    <col min="14340" max="14340" width="18" style="10" bestFit="1" customWidth="1"/>
    <col min="14341" max="14341" width="14" style="10" customWidth="1"/>
    <col min="14342" max="14342" width="17.33203125" style="10" customWidth="1"/>
    <col min="14343" max="14343" width="24.109375" style="10" customWidth="1"/>
    <col min="14344" max="14344" width="21.6640625" style="10" customWidth="1"/>
    <col min="14345" max="14592" width="8.88671875" style="10"/>
    <col min="14593" max="14593" width="37.88671875" style="10" customWidth="1"/>
    <col min="14594" max="14594" width="40.6640625" style="10" customWidth="1"/>
    <col min="14595" max="14595" width="14.5546875" style="10" customWidth="1"/>
    <col min="14596" max="14596" width="18" style="10" bestFit="1" customWidth="1"/>
    <col min="14597" max="14597" width="14" style="10" customWidth="1"/>
    <col min="14598" max="14598" width="17.33203125" style="10" customWidth="1"/>
    <col min="14599" max="14599" width="24.109375" style="10" customWidth="1"/>
    <col min="14600" max="14600" width="21.6640625" style="10" customWidth="1"/>
    <col min="14601" max="14848" width="8.88671875" style="10"/>
    <col min="14849" max="14849" width="37.88671875" style="10" customWidth="1"/>
    <col min="14850" max="14850" width="40.6640625" style="10" customWidth="1"/>
    <col min="14851" max="14851" width="14.5546875" style="10" customWidth="1"/>
    <col min="14852" max="14852" width="18" style="10" bestFit="1" customWidth="1"/>
    <col min="14853" max="14853" width="14" style="10" customWidth="1"/>
    <col min="14854" max="14854" width="17.33203125" style="10" customWidth="1"/>
    <col min="14855" max="14855" width="24.109375" style="10" customWidth="1"/>
    <col min="14856" max="14856" width="21.6640625" style="10" customWidth="1"/>
    <col min="14857" max="15104" width="8.88671875" style="10"/>
    <col min="15105" max="15105" width="37.88671875" style="10" customWidth="1"/>
    <col min="15106" max="15106" width="40.6640625" style="10" customWidth="1"/>
    <col min="15107" max="15107" width="14.5546875" style="10" customWidth="1"/>
    <col min="15108" max="15108" width="18" style="10" bestFit="1" customWidth="1"/>
    <col min="15109" max="15109" width="14" style="10" customWidth="1"/>
    <col min="15110" max="15110" width="17.33203125" style="10" customWidth="1"/>
    <col min="15111" max="15111" width="24.109375" style="10" customWidth="1"/>
    <col min="15112" max="15112" width="21.6640625" style="10" customWidth="1"/>
    <col min="15113" max="15360" width="8.88671875" style="10"/>
    <col min="15361" max="15361" width="37.88671875" style="10" customWidth="1"/>
    <col min="15362" max="15362" width="40.6640625" style="10" customWidth="1"/>
    <col min="15363" max="15363" width="14.5546875" style="10" customWidth="1"/>
    <col min="15364" max="15364" width="18" style="10" bestFit="1" customWidth="1"/>
    <col min="15365" max="15365" width="14" style="10" customWidth="1"/>
    <col min="15366" max="15366" width="17.33203125" style="10" customWidth="1"/>
    <col min="15367" max="15367" width="24.109375" style="10" customWidth="1"/>
    <col min="15368" max="15368" width="21.6640625" style="10" customWidth="1"/>
    <col min="15369" max="15616" width="8.88671875" style="10"/>
    <col min="15617" max="15617" width="37.88671875" style="10" customWidth="1"/>
    <col min="15618" max="15618" width="40.6640625" style="10" customWidth="1"/>
    <col min="15619" max="15619" width="14.5546875" style="10" customWidth="1"/>
    <col min="15620" max="15620" width="18" style="10" bestFit="1" customWidth="1"/>
    <col min="15621" max="15621" width="14" style="10" customWidth="1"/>
    <col min="15622" max="15622" width="17.33203125" style="10" customWidth="1"/>
    <col min="15623" max="15623" width="24.109375" style="10" customWidth="1"/>
    <col min="15624" max="15624" width="21.6640625" style="10" customWidth="1"/>
    <col min="15625" max="15872" width="8.88671875" style="10"/>
    <col min="15873" max="15873" width="37.88671875" style="10" customWidth="1"/>
    <col min="15874" max="15874" width="40.6640625" style="10" customWidth="1"/>
    <col min="15875" max="15875" width="14.5546875" style="10" customWidth="1"/>
    <col min="15876" max="15876" width="18" style="10" bestFit="1" customWidth="1"/>
    <col min="15877" max="15877" width="14" style="10" customWidth="1"/>
    <col min="15878" max="15878" width="17.33203125" style="10" customWidth="1"/>
    <col min="15879" max="15879" width="24.109375" style="10" customWidth="1"/>
    <col min="15880" max="15880" width="21.6640625" style="10" customWidth="1"/>
    <col min="15881" max="16128" width="8.88671875" style="10"/>
    <col min="16129" max="16129" width="37.88671875" style="10" customWidth="1"/>
    <col min="16130" max="16130" width="40.6640625" style="10" customWidth="1"/>
    <col min="16131" max="16131" width="14.5546875" style="10" customWidth="1"/>
    <col min="16132" max="16132" width="18" style="10" bestFit="1" customWidth="1"/>
    <col min="16133" max="16133" width="14" style="10" customWidth="1"/>
    <col min="16134" max="16134" width="17.33203125" style="10" customWidth="1"/>
    <col min="16135" max="16135" width="24.109375" style="10" customWidth="1"/>
    <col min="16136" max="16136" width="21.6640625" style="10" customWidth="1"/>
    <col min="16137" max="16384" width="8.88671875" style="10"/>
  </cols>
  <sheetData>
    <row r="1" spans="1:7" x14ac:dyDescent="0.25">
      <c r="E1" s="192" t="s">
        <v>1035</v>
      </c>
    </row>
    <row r="2" spans="1:7" x14ac:dyDescent="0.25">
      <c r="E2" s="192"/>
    </row>
    <row r="3" spans="1:7" x14ac:dyDescent="0.25">
      <c r="A3" s="392" t="s">
        <v>870</v>
      </c>
      <c r="B3" s="392"/>
      <c r="C3" s="392"/>
      <c r="D3" s="392"/>
      <c r="E3" s="392"/>
    </row>
    <row r="4" spans="1:7" x14ac:dyDescent="0.25">
      <c r="E4" s="192"/>
    </row>
    <row r="5" spans="1:7" x14ac:dyDescent="0.25">
      <c r="E5" s="192" t="s">
        <v>327</v>
      </c>
    </row>
    <row r="6" spans="1:7" ht="13.8" thickBot="1" x14ac:dyDescent="0.3">
      <c r="A6" s="190"/>
      <c r="B6" s="193"/>
      <c r="C6" s="194"/>
      <c r="D6" s="195"/>
      <c r="E6" s="196">
        <v>1</v>
      </c>
    </row>
    <row r="7" spans="1:7" ht="12.75" customHeight="1" x14ac:dyDescent="0.25">
      <c r="A7" s="393" t="s">
        <v>328</v>
      </c>
      <c r="B7" s="395" t="s">
        <v>329</v>
      </c>
      <c r="C7" s="397" t="s">
        <v>330</v>
      </c>
      <c r="D7" s="393" t="s">
        <v>871</v>
      </c>
      <c r="E7" s="393" t="s">
        <v>872</v>
      </c>
      <c r="G7" s="391"/>
    </row>
    <row r="8" spans="1:7" x14ac:dyDescent="0.25">
      <c r="A8" s="394"/>
      <c r="B8" s="396"/>
      <c r="C8" s="398"/>
      <c r="D8" s="394"/>
      <c r="E8" s="394"/>
      <c r="G8" s="391"/>
    </row>
    <row r="9" spans="1:7" x14ac:dyDescent="0.25">
      <c r="A9" s="197" t="s">
        <v>331</v>
      </c>
      <c r="B9" s="198" t="s">
        <v>332</v>
      </c>
      <c r="C9" s="199" t="s">
        <v>333</v>
      </c>
      <c r="D9" s="200">
        <v>236220</v>
      </c>
      <c r="E9" s="201">
        <v>233934</v>
      </c>
    </row>
    <row r="10" spans="1:7" x14ac:dyDescent="0.25">
      <c r="A10" s="197" t="s">
        <v>569</v>
      </c>
      <c r="B10" s="202" t="s">
        <v>570</v>
      </c>
      <c r="C10" s="140">
        <v>44958</v>
      </c>
      <c r="D10" s="200">
        <v>518160</v>
      </c>
      <c r="E10" s="201">
        <v>518160</v>
      </c>
    </row>
    <row r="11" spans="1:7" ht="26.4" x14ac:dyDescent="0.25">
      <c r="A11" s="197" t="s">
        <v>334</v>
      </c>
      <c r="B11" s="221" t="s">
        <v>873</v>
      </c>
      <c r="C11" s="203" t="s">
        <v>333</v>
      </c>
      <c r="D11" s="200">
        <v>506280</v>
      </c>
      <c r="E11" s="201">
        <v>285099</v>
      </c>
    </row>
    <row r="12" spans="1:7" ht="26.4" x14ac:dyDescent="0.25">
      <c r="A12" s="204" t="s">
        <v>646</v>
      </c>
      <c r="B12" s="362" t="s">
        <v>335</v>
      </c>
      <c r="C12" s="206" t="s">
        <v>336</v>
      </c>
      <c r="D12" s="200">
        <v>92400</v>
      </c>
      <c r="E12" s="201">
        <v>92400</v>
      </c>
    </row>
    <row r="13" spans="1:7" ht="26.4" x14ac:dyDescent="0.25">
      <c r="A13" s="204" t="s">
        <v>646</v>
      </c>
      <c r="B13" s="362" t="s">
        <v>337</v>
      </c>
      <c r="C13" s="206" t="s">
        <v>336</v>
      </c>
      <c r="D13" s="200">
        <v>24000</v>
      </c>
      <c r="E13" s="201">
        <v>24000</v>
      </c>
    </row>
    <row r="14" spans="1:7" x14ac:dyDescent="0.25">
      <c r="A14" s="204" t="s">
        <v>647</v>
      </c>
      <c r="B14" s="205" t="s">
        <v>648</v>
      </c>
      <c r="C14" s="206">
        <v>44955</v>
      </c>
      <c r="D14" s="141">
        <v>126973</v>
      </c>
      <c r="E14" s="201">
        <v>120927</v>
      </c>
    </row>
    <row r="15" spans="1:7" x14ac:dyDescent="0.25">
      <c r="A15" s="197" t="s">
        <v>338</v>
      </c>
      <c r="B15" s="198" t="s">
        <v>339</v>
      </c>
      <c r="C15" s="199" t="s">
        <v>333</v>
      </c>
      <c r="D15" s="200">
        <v>762000</v>
      </c>
      <c r="E15" s="201">
        <v>762000</v>
      </c>
    </row>
    <row r="16" spans="1:7" x14ac:dyDescent="0.25">
      <c r="A16" s="197" t="s">
        <v>338</v>
      </c>
      <c r="B16" s="198" t="s">
        <v>340</v>
      </c>
      <c r="C16" s="203">
        <v>44742</v>
      </c>
      <c r="D16" s="200">
        <v>599059</v>
      </c>
      <c r="E16" s="201">
        <v>599059</v>
      </c>
      <c r="F16" s="363"/>
    </row>
    <row r="17" spans="1:5" x14ac:dyDescent="0.25">
      <c r="A17" s="197" t="s">
        <v>571</v>
      </c>
      <c r="B17" s="198" t="s">
        <v>402</v>
      </c>
      <c r="C17" s="199" t="s">
        <v>333</v>
      </c>
      <c r="D17" s="141">
        <v>3227270</v>
      </c>
      <c r="E17" s="201">
        <v>3073590</v>
      </c>
    </row>
    <row r="18" spans="1:5" x14ac:dyDescent="0.25">
      <c r="A18" s="197" t="s">
        <v>341</v>
      </c>
      <c r="B18" s="198" t="s">
        <v>342</v>
      </c>
      <c r="C18" s="203" t="s">
        <v>333</v>
      </c>
      <c r="D18" s="200">
        <v>63000</v>
      </c>
      <c r="E18" s="201">
        <v>63000</v>
      </c>
    </row>
    <row r="19" spans="1:5" x14ac:dyDescent="0.25">
      <c r="A19" s="207" t="s">
        <v>207</v>
      </c>
      <c r="B19" s="208" t="s">
        <v>343</v>
      </c>
      <c r="C19" s="199" t="s">
        <v>333</v>
      </c>
      <c r="D19" s="141">
        <v>579637</v>
      </c>
      <c r="E19" s="201">
        <v>552222</v>
      </c>
    </row>
    <row r="20" spans="1:5" x14ac:dyDescent="0.25">
      <c r="A20" s="204" t="s">
        <v>344</v>
      </c>
      <c r="B20" s="205" t="s">
        <v>874</v>
      </c>
      <c r="C20" s="209" t="s">
        <v>333</v>
      </c>
      <c r="D20" s="141">
        <v>1276820</v>
      </c>
      <c r="E20" s="201">
        <v>1216019</v>
      </c>
    </row>
    <row r="21" spans="1:5" x14ac:dyDescent="0.25">
      <c r="A21" s="204" t="s">
        <v>344</v>
      </c>
      <c r="B21" s="205" t="s">
        <v>345</v>
      </c>
      <c r="C21" s="209" t="s">
        <v>333</v>
      </c>
      <c r="D21" s="141">
        <v>1112030</v>
      </c>
      <c r="E21" s="210">
        <v>1059076</v>
      </c>
    </row>
    <row r="22" spans="1:5" ht="24.75" customHeight="1" x14ac:dyDescent="0.25">
      <c r="A22" s="147" t="s">
        <v>649</v>
      </c>
      <c r="B22" s="364" t="s">
        <v>650</v>
      </c>
      <c r="C22" s="365">
        <v>44620</v>
      </c>
      <c r="D22" s="366">
        <v>85000</v>
      </c>
      <c r="E22" s="214">
        <v>265000</v>
      </c>
    </row>
    <row r="23" spans="1:5" ht="26.4" x14ac:dyDescent="0.25">
      <c r="A23" s="204" t="s">
        <v>346</v>
      </c>
      <c r="B23" s="205" t="s">
        <v>347</v>
      </c>
      <c r="C23" s="215" t="s">
        <v>333</v>
      </c>
      <c r="D23" s="200">
        <v>51302</v>
      </c>
      <c r="E23" s="201">
        <v>51302</v>
      </c>
    </row>
    <row r="24" spans="1:5" ht="26.4" x14ac:dyDescent="0.25">
      <c r="A24" s="204" t="s">
        <v>346</v>
      </c>
      <c r="B24" s="205" t="s">
        <v>348</v>
      </c>
      <c r="C24" s="215" t="s">
        <v>333</v>
      </c>
      <c r="D24" s="200">
        <v>55852</v>
      </c>
      <c r="E24" s="201">
        <v>55852</v>
      </c>
    </row>
    <row r="25" spans="1:5" ht="26.4" x14ac:dyDescent="0.25">
      <c r="A25" s="204" t="s">
        <v>346</v>
      </c>
      <c r="B25" s="205" t="s">
        <v>349</v>
      </c>
      <c r="C25" s="215" t="s">
        <v>333</v>
      </c>
      <c r="D25" s="200">
        <v>129363</v>
      </c>
      <c r="E25" s="201">
        <v>123203</v>
      </c>
    </row>
    <row r="26" spans="1:5" ht="26.4" x14ac:dyDescent="0.25">
      <c r="A26" s="204" t="s">
        <v>346</v>
      </c>
      <c r="B26" s="205" t="s">
        <v>350</v>
      </c>
      <c r="C26" s="215" t="s">
        <v>333</v>
      </c>
      <c r="D26" s="200">
        <v>331478</v>
      </c>
      <c r="E26" s="201">
        <v>330791</v>
      </c>
    </row>
    <row r="27" spans="1:5" ht="26.4" x14ac:dyDescent="0.25">
      <c r="A27" s="204" t="s">
        <v>346</v>
      </c>
      <c r="B27" s="205" t="s">
        <v>351</v>
      </c>
      <c r="C27" s="142">
        <v>44323</v>
      </c>
      <c r="D27" s="200">
        <v>252730</v>
      </c>
      <c r="E27" s="201">
        <v>188318</v>
      </c>
    </row>
    <row r="28" spans="1:5" ht="26.4" x14ac:dyDescent="0.25">
      <c r="A28" s="204" t="s">
        <v>346</v>
      </c>
      <c r="B28" s="205" t="s">
        <v>352</v>
      </c>
      <c r="C28" s="142">
        <v>44508</v>
      </c>
      <c r="D28" s="200">
        <v>420618</v>
      </c>
      <c r="E28" s="201">
        <v>400328</v>
      </c>
    </row>
    <row r="29" spans="1:5" ht="26.4" x14ac:dyDescent="0.25">
      <c r="A29" s="144" t="s">
        <v>346</v>
      </c>
      <c r="B29" s="211" t="s">
        <v>651</v>
      </c>
      <c r="C29" s="216">
        <v>45382</v>
      </c>
      <c r="D29" s="213">
        <v>15240</v>
      </c>
      <c r="E29" s="217">
        <v>11430</v>
      </c>
    </row>
    <row r="30" spans="1:5" x14ac:dyDescent="0.25">
      <c r="A30" s="218" t="s">
        <v>353</v>
      </c>
      <c r="B30" s="219" t="s">
        <v>354</v>
      </c>
      <c r="C30" s="140" t="s">
        <v>333</v>
      </c>
      <c r="D30" s="141">
        <v>1014672</v>
      </c>
      <c r="E30" s="220">
        <v>966354</v>
      </c>
    </row>
    <row r="31" spans="1:5" ht="26.4" x14ac:dyDescent="0.25">
      <c r="A31" s="218" t="s">
        <v>355</v>
      </c>
      <c r="B31" s="221" t="s">
        <v>356</v>
      </c>
      <c r="C31" s="222" t="s">
        <v>333</v>
      </c>
      <c r="D31" s="141">
        <v>918495</v>
      </c>
      <c r="E31" s="223">
        <v>874757</v>
      </c>
    </row>
    <row r="32" spans="1:5" ht="26.4" x14ac:dyDescent="0.25">
      <c r="A32" s="218" t="s">
        <v>355</v>
      </c>
      <c r="B32" s="221" t="s">
        <v>357</v>
      </c>
      <c r="C32" s="222" t="s">
        <v>333</v>
      </c>
      <c r="D32" s="141">
        <v>448012</v>
      </c>
      <c r="E32" s="223">
        <v>426678</v>
      </c>
    </row>
    <row r="33" spans="1:10" ht="26.4" x14ac:dyDescent="0.25">
      <c r="A33" s="218" t="s">
        <v>355</v>
      </c>
      <c r="B33" s="221" t="s">
        <v>358</v>
      </c>
      <c r="C33" s="222" t="s">
        <v>333</v>
      </c>
      <c r="D33" s="141">
        <v>270820</v>
      </c>
      <c r="E33" s="223">
        <v>257924</v>
      </c>
    </row>
    <row r="34" spans="1:10" x14ac:dyDescent="0.25">
      <c r="A34" s="197" t="s">
        <v>359</v>
      </c>
      <c r="B34" s="198" t="s">
        <v>360</v>
      </c>
      <c r="C34" s="199" t="s">
        <v>333</v>
      </c>
      <c r="D34" s="224">
        <v>77724</v>
      </c>
      <c r="E34" s="201">
        <v>77724</v>
      </c>
    </row>
    <row r="35" spans="1:10" ht="26.4" x14ac:dyDescent="0.25">
      <c r="A35" s="197" t="s">
        <v>361</v>
      </c>
      <c r="B35" s="198" t="s">
        <v>362</v>
      </c>
      <c r="C35" s="199" t="s">
        <v>333</v>
      </c>
      <c r="D35" s="200">
        <v>243840</v>
      </c>
      <c r="E35" s="201">
        <v>243840</v>
      </c>
      <c r="J35" s="134"/>
    </row>
    <row r="36" spans="1:10" ht="26.4" x14ac:dyDescent="0.25">
      <c r="A36" s="197" t="s">
        <v>363</v>
      </c>
      <c r="B36" s="198" t="s">
        <v>572</v>
      </c>
      <c r="C36" s="199" t="s">
        <v>333</v>
      </c>
      <c r="D36" s="141">
        <v>67080</v>
      </c>
      <c r="E36" s="201">
        <v>106988</v>
      </c>
    </row>
    <row r="37" spans="1:10" x14ac:dyDescent="0.25">
      <c r="A37" s="197" t="s">
        <v>364</v>
      </c>
      <c r="B37" s="198" t="s">
        <v>365</v>
      </c>
      <c r="C37" s="199" t="s">
        <v>333</v>
      </c>
      <c r="D37" s="200">
        <v>304800</v>
      </c>
      <c r="E37" s="201">
        <v>284480</v>
      </c>
    </row>
    <row r="38" spans="1:10" x14ac:dyDescent="0.25">
      <c r="A38" s="197" t="s">
        <v>366</v>
      </c>
      <c r="B38" s="198" t="s">
        <v>367</v>
      </c>
      <c r="C38" s="199" t="s">
        <v>333</v>
      </c>
      <c r="D38" s="200">
        <v>144000</v>
      </c>
      <c r="E38" s="201">
        <v>144000</v>
      </c>
    </row>
    <row r="39" spans="1:10" x14ac:dyDescent="0.25">
      <c r="A39" s="197" t="s">
        <v>368</v>
      </c>
      <c r="B39" s="198" t="s">
        <v>369</v>
      </c>
      <c r="C39" s="203" t="s">
        <v>333</v>
      </c>
      <c r="D39" s="200">
        <v>178704</v>
      </c>
      <c r="E39" s="201">
        <v>169784</v>
      </c>
    </row>
    <row r="40" spans="1:10" s="367" customFormat="1" ht="26.4" x14ac:dyDescent="0.25">
      <c r="A40" s="197" t="s">
        <v>370</v>
      </c>
      <c r="B40" s="198" t="s">
        <v>371</v>
      </c>
      <c r="C40" s="203" t="s">
        <v>333</v>
      </c>
      <c r="D40" s="200">
        <v>91440</v>
      </c>
      <c r="E40" s="201">
        <v>91440</v>
      </c>
    </row>
    <row r="41" spans="1:10" ht="26.4" x14ac:dyDescent="0.25">
      <c r="A41" s="197" t="s">
        <v>573</v>
      </c>
      <c r="B41" s="146" t="s">
        <v>574</v>
      </c>
      <c r="C41" s="203">
        <v>44764</v>
      </c>
      <c r="D41" s="200">
        <v>608718</v>
      </c>
      <c r="E41" s="201">
        <v>582638</v>
      </c>
    </row>
    <row r="42" spans="1:10" x14ac:dyDescent="0.25">
      <c r="A42" s="197" t="s">
        <v>373</v>
      </c>
      <c r="B42" s="198" t="s">
        <v>875</v>
      </c>
      <c r="C42" s="203" t="s">
        <v>333</v>
      </c>
      <c r="D42" s="141">
        <v>36780</v>
      </c>
      <c r="E42" s="201">
        <v>36780</v>
      </c>
    </row>
    <row r="43" spans="1:10" x14ac:dyDescent="0.25">
      <c r="A43" s="197" t="s">
        <v>373</v>
      </c>
      <c r="B43" s="198" t="s">
        <v>374</v>
      </c>
      <c r="C43" s="203" t="s">
        <v>333</v>
      </c>
      <c r="D43" s="141">
        <v>7401918</v>
      </c>
      <c r="E43" s="201">
        <v>7049446</v>
      </c>
    </row>
    <row r="44" spans="1:10" x14ac:dyDescent="0.25">
      <c r="A44" s="197" t="s">
        <v>375</v>
      </c>
      <c r="B44" s="198" t="s">
        <v>376</v>
      </c>
      <c r="C44" s="203" t="s">
        <v>333</v>
      </c>
      <c r="D44" s="141">
        <v>20903</v>
      </c>
      <c r="E44" s="201">
        <v>19908</v>
      </c>
    </row>
    <row r="45" spans="1:10" x14ac:dyDescent="0.25">
      <c r="A45" s="197" t="s">
        <v>375</v>
      </c>
      <c r="B45" s="198" t="s">
        <v>575</v>
      </c>
      <c r="C45" s="203" t="s">
        <v>333</v>
      </c>
      <c r="D45" s="141">
        <v>506097</v>
      </c>
      <c r="E45" s="201">
        <v>481997</v>
      </c>
    </row>
    <row r="46" spans="1:10" x14ac:dyDescent="0.25">
      <c r="A46" s="197" t="s">
        <v>375</v>
      </c>
      <c r="B46" s="198" t="s">
        <v>377</v>
      </c>
      <c r="C46" s="203" t="s">
        <v>333</v>
      </c>
      <c r="D46" s="200">
        <v>165186</v>
      </c>
      <c r="E46" s="201">
        <v>157320</v>
      </c>
    </row>
    <row r="47" spans="1:10" ht="26.4" x14ac:dyDescent="0.25">
      <c r="A47" s="197" t="s">
        <v>378</v>
      </c>
      <c r="B47" s="198" t="s">
        <v>379</v>
      </c>
      <c r="C47" s="203" t="s">
        <v>333</v>
      </c>
      <c r="D47" s="141">
        <v>84783</v>
      </c>
      <c r="E47" s="201">
        <v>80746</v>
      </c>
    </row>
    <row r="48" spans="1:10" ht="26.4" x14ac:dyDescent="0.25">
      <c r="A48" s="197" t="s">
        <v>381</v>
      </c>
      <c r="B48" s="198" t="s">
        <v>382</v>
      </c>
      <c r="C48" s="215" t="s">
        <v>333</v>
      </c>
      <c r="D48" s="200">
        <v>464736</v>
      </c>
      <c r="E48" s="201">
        <v>464736</v>
      </c>
    </row>
    <row r="49" spans="1:5" x14ac:dyDescent="0.25">
      <c r="A49" s="197" t="s">
        <v>653</v>
      </c>
      <c r="B49" s="198" t="s">
        <v>1023</v>
      </c>
      <c r="C49" s="215" t="s">
        <v>380</v>
      </c>
      <c r="D49" s="200">
        <v>987490</v>
      </c>
      <c r="E49" s="201">
        <v>987490</v>
      </c>
    </row>
    <row r="50" spans="1:5" ht="26.4" x14ac:dyDescent="0.25">
      <c r="A50" s="197" t="s">
        <v>383</v>
      </c>
      <c r="B50" s="225" t="s">
        <v>384</v>
      </c>
      <c r="C50" s="215" t="s">
        <v>385</v>
      </c>
      <c r="D50" s="226">
        <v>114946</v>
      </c>
      <c r="E50" s="201">
        <v>109472</v>
      </c>
    </row>
    <row r="51" spans="1:5" x14ac:dyDescent="0.25">
      <c r="A51" s="197" t="s">
        <v>383</v>
      </c>
      <c r="B51" s="225" t="s">
        <v>386</v>
      </c>
      <c r="C51" s="215" t="s">
        <v>380</v>
      </c>
      <c r="D51" s="227">
        <v>373346</v>
      </c>
      <c r="E51" s="201">
        <v>347622</v>
      </c>
    </row>
    <row r="52" spans="1:5" x14ac:dyDescent="0.25">
      <c r="A52" s="197" t="s">
        <v>387</v>
      </c>
      <c r="B52" s="225" t="s">
        <v>654</v>
      </c>
      <c r="C52" s="199" t="s">
        <v>333</v>
      </c>
      <c r="D52" s="141">
        <v>151926</v>
      </c>
      <c r="E52" s="201">
        <v>144691</v>
      </c>
    </row>
    <row r="53" spans="1:5" x14ac:dyDescent="0.25">
      <c r="A53" s="197" t="s">
        <v>388</v>
      </c>
      <c r="B53" s="225" t="s">
        <v>655</v>
      </c>
      <c r="C53" s="203" t="s">
        <v>333</v>
      </c>
      <c r="D53" s="141">
        <v>226060</v>
      </c>
      <c r="E53" s="201">
        <v>226060</v>
      </c>
    </row>
    <row r="54" spans="1:5" x14ac:dyDescent="0.25">
      <c r="A54" s="197" t="s">
        <v>390</v>
      </c>
      <c r="B54" s="225" t="s">
        <v>391</v>
      </c>
      <c r="C54" s="203" t="s">
        <v>333</v>
      </c>
      <c r="D54" s="141">
        <v>5951960</v>
      </c>
      <c r="E54" s="201">
        <v>5951960</v>
      </c>
    </row>
    <row r="55" spans="1:5" ht="26.4" x14ac:dyDescent="0.25">
      <c r="A55" s="197" t="s">
        <v>392</v>
      </c>
      <c r="B55" s="225" t="s">
        <v>576</v>
      </c>
      <c r="C55" s="203" t="s">
        <v>333</v>
      </c>
      <c r="D55" s="141">
        <v>2588507</v>
      </c>
      <c r="E55" s="201">
        <v>2465245</v>
      </c>
    </row>
    <row r="56" spans="1:5" ht="26.4" x14ac:dyDescent="0.25">
      <c r="A56" s="197" t="s">
        <v>393</v>
      </c>
      <c r="B56" s="225" t="s">
        <v>1024</v>
      </c>
      <c r="C56" s="203" t="s">
        <v>333</v>
      </c>
      <c r="D56" s="141">
        <v>2320998</v>
      </c>
      <c r="E56" s="201">
        <v>2210474</v>
      </c>
    </row>
    <row r="57" spans="1:5" ht="26.4" x14ac:dyDescent="0.25">
      <c r="A57" s="197" t="s">
        <v>394</v>
      </c>
      <c r="B57" s="225" t="s">
        <v>395</v>
      </c>
      <c r="C57" s="203" t="s">
        <v>333</v>
      </c>
      <c r="D57" s="200">
        <v>120000</v>
      </c>
      <c r="E57" s="201">
        <v>120000</v>
      </c>
    </row>
    <row r="58" spans="1:5" x14ac:dyDescent="0.25">
      <c r="A58" s="197" t="s">
        <v>396</v>
      </c>
      <c r="B58" s="225" t="s">
        <v>397</v>
      </c>
      <c r="C58" s="203" t="s">
        <v>380</v>
      </c>
      <c r="D58" s="200">
        <v>105600</v>
      </c>
      <c r="E58" s="201">
        <v>105600</v>
      </c>
    </row>
    <row r="59" spans="1:5" x14ac:dyDescent="0.25">
      <c r="A59" s="197" t="s">
        <v>398</v>
      </c>
      <c r="B59" s="225" t="s">
        <v>656</v>
      </c>
      <c r="C59" s="203" t="s">
        <v>333</v>
      </c>
      <c r="D59" s="200">
        <v>166984</v>
      </c>
      <c r="E59" s="201">
        <v>166984</v>
      </c>
    </row>
    <row r="60" spans="1:5" x14ac:dyDescent="0.25">
      <c r="A60" s="197" t="s">
        <v>399</v>
      </c>
      <c r="B60" s="225" t="s">
        <v>400</v>
      </c>
      <c r="C60" s="203" t="s">
        <v>333</v>
      </c>
      <c r="D60" s="141">
        <v>299166</v>
      </c>
      <c r="E60" s="201">
        <v>284920</v>
      </c>
    </row>
    <row r="61" spans="1:5" x14ac:dyDescent="0.25">
      <c r="A61" s="197" t="s">
        <v>399</v>
      </c>
      <c r="B61" s="225" t="s">
        <v>401</v>
      </c>
      <c r="C61" s="203" t="s">
        <v>333</v>
      </c>
      <c r="D61" s="141">
        <v>255666</v>
      </c>
      <c r="E61" s="201">
        <v>255667</v>
      </c>
    </row>
    <row r="62" spans="1:5" ht="26.4" x14ac:dyDescent="0.25">
      <c r="A62" s="197" t="s">
        <v>577</v>
      </c>
      <c r="B62" s="198" t="s">
        <v>372</v>
      </c>
      <c r="C62" s="203" t="s">
        <v>333</v>
      </c>
      <c r="D62" s="141">
        <v>1980000</v>
      </c>
      <c r="E62" s="201">
        <v>1485000</v>
      </c>
    </row>
    <row r="63" spans="1:5" x14ac:dyDescent="0.25">
      <c r="A63" s="197" t="s">
        <v>403</v>
      </c>
      <c r="B63" s="198" t="s">
        <v>657</v>
      </c>
      <c r="C63" s="199" t="s">
        <v>652</v>
      </c>
      <c r="D63" s="200">
        <v>36000</v>
      </c>
      <c r="E63" s="201">
        <v>36000</v>
      </c>
    </row>
    <row r="64" spans="1:5" x14ac:dyDescent="0.25">
      <c r="A64" s="197" t="s">
        <v>404</v>
      </c>
      <c r="B64" s="198" t="s">
        <v>405</v>
      </c>
      <c r="C64" s="228" t="s">
        <v>380</v>
      </c>
      <c r="D64" s="141">
        <v>1257738</v>
      </c>
      <c r="E64" s="201">
        <v>1257738</v>
      </c>
    </row>
    <row r="65" spans="1:5" x14ac:dyDescent="0.25">
      <c r="A65" s="197" t="s">
        <v>406</v>
      </c>
      <c r="B65" s="198" t="s">
        <v>658</v>
      </c>
      <c r="C65" s="142" t="s">
        <v>333</v>
      </c>
      <c r="D65" s="141">
        <v>23192</v>
      </c>
      <c r="E65" s="201">
        <v>22086</v>
      </c>
    </row>
    <row r="66" spans="1:5" ht="13.8" thickBot="1" x14ac:dyDescent="0.3">
      <c r="A66" s="368"/>
      <c r="B66" s="368"/>
      <c r="C66" s="368" t="s">
        <v>24</v>
      </c>
      <c r="D66" s="369">
        <f>SUM(D9:D65)</f>
        <v>40473719</v>
      </c>
      <c r="E66" s="369">
        <f>SUM(E9:E65)</f>
        <v>38720259</v>
      </c>
    </row>
    <row r="67" spans="1:5" x14ac:dyDescent="0.25">
      <c r="C67" s="229"/>
    </row>
    <row r="68" spans="1:5" x14ac:dyDescent="0.25">
      <c r="C68" s="229"/>
    </row>
    <row r="69" spans="1:5" x14ac:dyDescent="0.25">
      <c r="C69" s="229"/>
    </row>
    <row r="70" spans="1:5" x14ac:dyDescent="0.25">
      <c r="C70" s="229"/>
    </row>
    <row r="71" spans="1:5" x14ac:dyDescent="0.25">
      <c r="C71" s="194"/>
    </row>
    <row r="72" spans="1:5" x14ac:dyDescent="0.25">
      <c r="C72" s="194"/>
    </row>
    <row r="73" spans="1:5" x14ac:dyDescent="0.25">
      <c r="C73" s="194"/>
    </row>
    <row r="74" spans="1:5" x14ac:dyDescent="0.25">
      <c r="C74" s="194"/>
    </row>
    <row r="75" spans="1:5" x14ac:dyDescent="0.25">
      <c r="C75" s="192"/>
    </row>
    <row r="76" spans="1:5" x14ac:dyDescent="0.25">
      <c r="C76" s="192"/>
    </row>
    <row r="77" spans="1:5" x14ac:dyDescent="0.25">
      <c r="C77" s="192"/>
    </row>
    <row r="78" spans="1:5" x14ac:dyDescent="0.25">
      <c r="C78" s="192"/>
    </row>
    <row r="79" spans="1:5" x14ac:dyDescent="0.25">
      <c r="C79" s="192"/>
    </row>
    <row r="80" spans="1:5" x14ac:dyDescent="0.25">
      <c r="C80" s="192"/>
    </row>
    <row r="81" spans="3:3" x14ac:dyDescent="0.25">
      <c r="C81" s="192"/>
    </row>
    <row r="82" spans="3:3" x14ac:dyDescent="0.25">
      <c r="C82" s="192"/>
    </row>
    <row r="83" spans="3:3" x14ac:dyDescent="0.25">
      <c r="C83" s="192"/>
    </row>
    <row r="84" spans="3:3" x14ac:dyDescent="0.25">
      <c r="C84" s="192"/>
    </row>
    <row r="85" spans="3:3" x14ac:dyDescent="0.25">
      <c r="C85" s="192"/>
    </row>
    <row r="86" spans="3:3" x14ac:dyDescent="0.25">
      <c r="C86" s="192"/>
    </row>
    <row r="87" spans="3:3" x14ac:dyDescent="0.25">
      <c r="C87" s="192"/>
    </row>
    <row r="88" spans="3:3" x14ac:dyDescent="0.25">
      <c r="C88" s="192"/>
    </row>
    <row r="89" spans="3:3" x14ac:dyDescent="0.25">
      <c r="C89" s="192"/>
    </row>
    <row r="90" spans="3:3" x14ac:dyDescent="0.25">
      <c r="C90" s="192"/>
    </row>
    <row r="91" spans="3:3" x14ac:dyDescent="0.25">
      <c r="C91" s="192"/>
    </row>
    <row r="92" spans="3:3" x14ac:dyDescent="0.25">
      <c r="C92" s="192"/>
    </row>
    <row r="93" spans="3:3" x14ac:dyDescent="0.25">
      <c r="C93" s="192"/>
    </row>
    <row r="94" spans="3:3" x14ac:dyDescent="0.25">
      <c r="C94" s="192"/>
    </row>
    <row r="95" spans="3:3" x14ac:dyDescent="0.25">
      <c r="C95" s="195"/>
    </row>
    <row r="96" spans="3:3" x14ac:dyDescent="0.25">
      <c r="C96" s="195"/>
    </row>
    <row r="97" spans="3:3" x14ac:dyDescent="0.25">
      <c r="C97" s="195"/>
    </row>
    <row r="98" spans="3:3" x14ac:dyDescent="0.25">
      <c r="C98" s="195"/>
    </row>
    <row r="99" spans="3:3" x14ac:dyDescent="0.25">
      <c r="C99" s="195"/>
    </row>
    <row r="100" spans="3:3" x14ac:dyDescent="0.25">
      <c r="C100" s="195"/>
    </row>
    <row r="101" spans="3:3" x14ac:dyDescent="0.25">
      <c r="C101" s="195"/>
    </row>
    <row r="102" spans="3:3" x14ac:dyDescent="0.25">
      <c r="C102" s="195"/>
    </row>
    <row r="103" spans="3:3" x14ac:dyDescent="0.25">
      <c r="C103" s="195"/>
    </row>
    <row r="104" spans="3:3" x14ac:dyDescent="0.25">
      <c r="C104" s="195"/>
    </row>
    <row r="105" spans="3:3" x14ac:dyDescent="0.25">
      <c r="C105" s="195"/>
    </row>
    <row r="106" spans="3:3" x14ac:dyDescent="0.25">
      <c r="C106" s="195"/>
    </row>
    <row r="107" spans="3:3" x14ac:dyDescent="0.25">
      <c r="C107" s="195"/>
    </row>
    <row r="108" spans="3:3" x14ac:dyDescent="0.25">
      <c r="C108" s="195"/>
    </row>
    <row r="109" spans="3:3" x14ac:dyDescent="0.25">
      <c r="C109" s="195"/>
    </row>
    <row r="110" spans="3:3" x14ac:dyDescent="0.25">
      <c r="C110" s="195"/>
    </row>
    <row r="111" spans="3:3" x14ac:dyDescent="0.25">
      <c r="C111" s="195"/>
    </row>
    <row r="112" spans="3:3" x14ac:dyDescent="0.25">
      <c r="C112" s="195"/>
    </row>
    <row r="113" spans="3:3" x14ac:dyDescent="0.25">
      <c r="C113" s="195"/>
    </row>
    <row r="114" spans="3:3" x14ac:dyDescent="0.25">
      <c r="C114" s="195"/>
    </row>
    <row r="115" spans="3:3" x14ac:dyDescent="0.25">
      <c r="C115" s="195"/>
    </row>
    <row r="116" spans="3:3" x14ac:dyDescent="0.25">
      <c r="C116" s="195"/>
    </row>
    <row r="117" spans="3:3" x14ac:dyDescent="0.25">
      <c r="C117" s="195"/>
    </row>
    <row r="118" spans="3:3" x14ac:dyDescent="0.25">
      <c r="C118" s="195"/>
    </row>
    <row r="119" spans="3:3" x14ac:dyDescent="0.25">
      <c r="C119" s="195"/>
    </row>
    <row r="120" spans="3:3" x14ac:dyDescent="0.25">
      <c r="C120" s="195"/>
    </row>
    <row r="121" spans="3:3" x14ac:dyDescent="0.25">
      <c r="C121" s="195"/>
    </row>
    <row r="122" spans="3:3" x14ac:dyDescent="0.25">
      <c r="C122" s="195"/>
    </row>
    <row r="123" spans="3:3" x14ac:dyDescent="0.25">
      <c r="C123" s="195"/>
    </row>
    <row r="124" spans="3:3" x14ac:dyDescent="0.25">
      <c r="C124" s="195"/>
    </row>
    <row r="125" spans="3:3" x14ac:dyDescent="0.25">
      <c r="C125" s="195"/>
    </row>
    <row r="126" spans="3:3" x14ac:dyDescent="0.25">
      <c r="C126" s="195"/>
    </row>
    <row r="127" spans="3:3" x14ac:dyDescent="0.25">
      <c r="C127" s="370"/>
    </row>
    <row r="128" spans="3:3" x14ac:dyDescent="0.25">
      <c r="C128" s="195"/>
    </row>
    <row r="129" spans="3:4" x14ac:dyDescent="0.25">
      <c r="C129" s="195"/>
    </row>
    <row r="130" spans="3:4" x14ac:dyDescent="0.25">
      <c r="C130" s="195"/>
    </row>
    <row r="131" spans="3:4" x14ac:dyDescent="0.25">
      <c r="C131" s="195"/>
    </row>
    <row r="132" spans="3:4" x14ac:dyDescent="0.25">
      <c r="C132" s="195"/>
    </row>
    <row r="133" spans="3:4" x14ac:dyDescent="0.25">
      <c r="C133" s="195"/>
    </row>
    <row r="134" spans="3:4" x14ac:dyDescent="0.25">
      <c r="D134" s="371"/>
    </row>
  </sheetData>
  <mergeCells count="7">
    <mergeCell ref="G7:G8"/>
    <mergeCell ref="A3:E3"/>
    <mergeCell ref="A7:A8"/>
    <mergeCell ref="B7:B8"/>
    <mergeCell ref="C7:C8"/>
    <mergeCell ref="D7:D8"/>
    <mergeCell ref="E7:E8"/>
  </mergeCells>
  <pageMargins left="0.70866141732283472" right="0.70866141732283472" top="0.74803149606299213" bottom="0.74803149606299213" header="0.31496062992125984" footer="0.31496062992125984"/>
  <pageSetup paperSize="8" scale="8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83557-B293-410F-8E47-40CC6BD5AD22}">
  <sheetPr>
    <pageSetUpPr fitToPage="1"/>
  </sheetPr>
  <dimension ref="A1:O187"/>
  <sheetViews>
    <sheetView topLeftCell="C142" zoomScale="115" zoomScaleNormal="115" workbookViewId="0">
      <selection activeCell="E2" sqref="E2"/>
    </sheetView>
  </sheetViews>
  <sheetFormatPr defaultRowHeight="13.2" x14ac:dyDescent="0.25"/>
  <cols>
    <col min="1" max="1" width="61.33203125" style="10" customWidth="1"/>
    <col min="2" max="2" width="65.33203125" style="10" customWidth="1"/>
    <col min="3" max="3" width="54" style="10" bestFit="1" customWidth="1"/>
    <col min="4" max="4" width="21.6640625" style="10" customWidth="1"/>
    <col min="5" max="5" width="16.109375" style="10" customWidth="1"/>
    <col min="6" max="6" width="7.33203125" style="10" bestFit="1" customWidth="1"/>
    <col min="7" max="7" width="16.5546875" style="10" customWidth="1"/>
    <col min="8" max="8" width="14.33203125" style="10" customWidth="1"/>
    <col min="9" max="9" width="22.44140625" style="10" customWidth="1"/>
    <col min="10" max="10" width="22.5546875" style="10" customWidth="1"/>
    <col min="11" max="13" width="9.33203125" style="10" bestFit="1" customWidth="1"/>
    <col min="14" max="14" width="10.6640625" style="10" bestFit="1" customWidth="1"/>
    <col min="15" max="256" width="9.109375" style="10"/>
    <col min="257" max="257" width="52.5546875" style="10" customWidth="1"/>
    <col min="258" max="258" width="60" style="10" bestFit="1" customWidth="1"/>
    <col min="259" max="259" width="24.88671875" style="10" bestFit="1" customWidth="1"/>
    <col min="260" max="260" width="20.109375" style="10" customWidth="1"/>
    <col min="261" max="261" width="16.109375" style="10" customWidth="1"/>
    <col min="262" max="262" width="18" style="10" customWidth="1"/>
    <col min="263" max="263" width="16.5546875" style="10" customWidth="1"/>
    <col min="264" max="264" width="14.33203125" style="10" customWidth="1"/>
    <col min="265" max="265" width="22.44140625" style="10" customWidth="1"/>
    <col min="266" max="266" width="22.5546875" style="10" customWidth="1"/>
    <col min="267" max="269" width="9.33203125" style="10" bestFit="1" customWidth="1"/>
    <col min="270" max="270" width="10.6640625" style="10" bestFit="1" customWidth="1"/>
    <col min="271" max="512" width="9.109375" style="10"/>
    <col min="513" max="513" width="52.5546875" style="10" customWidth="1"/>
    <col min="514" max="514" width="60" style="10" bestFit="1" customWidth="1"/>
    <col min="515" max="515" width="24.88671875" style="10" bestFit="1" customWidth="1"/>
    <col min="516" max="516" width="20.109375" style="10" customWidth="1"/>
    <col min="517" max="517" width="16.109375" style="10" customWidth="1"/>
    <col min="518" max="518" width="18" style="10" customWidth="1"/>
    <col min="519" max="519" width="16.5546875" style="10" customWidth="1"/>
    <col min="520" max="520" width="14.33203125" style="10" customWidth="1"/>
    <col min="521" max="521" width="22.44140625" style="10" customWidth="1"/>
    <col min="522" max="522" width="22.5546875" style="10" customWidth="1"/>
    <col min="523" max="525" width="9.33203125" style="10" bestFit="1" customWidth="1"/>
    <col min="526" max="526" width="10.6640625" style="10" bestFit="1" customWidth="1"/>
    <col min="527" max="768" width="9.109375" style="10"/>
    <col min="769" max="769" width="52.5546875" style="10" customWidth="1"/>
    <col min="770" max="770" width="60" style="10" bestFit="1" customWidth="1"/>
    <col min="771" max="771" width="24.88671875" style="10" bestFit="1" customWidth="1"/>
    <col min="772" max="772" width="20.109375" style="10" customWidth="1"/>
    <col min="773" max="773" width="16.109375" style="10" customWidth="1"/>
    <col min="774" max="774" width="18" style="10" customWidth="1"/>
    <col min="775" max="775" width="16.5546875" style="10" customWidth="1"/>
    <col min="776" max="776" width="14.33203125" style="10" customWidth="1"/>
    <col min="777" max="777" width="22.44140625" style="10" customWidth="1"/>
    <col min="778" max="778" width="22.5546875" style="10" customWidth="1"/>
    <col min="779" max="781" width="9.33203125" style="10" bestFit="1" customWidth="1"/>
    <col min="782" max="782" width="10.6640625" style="10" bestFit="1" customWidth="1"/>
    <col min="783" max="1024" width="9.109375" style="10"/>
    <col min="1025" max="1025" width="52.5546875" style="10" customWidth="1"/>
    <col min="1026" max="1026" width="60" style="10" bestFit="1" customWidth="1"/>
    <col min="1027" max="1027" width="24.88671875" style="10" bestFit="1" customWidth="1"/>
    <col min="1028" max="1028" width="20.109375" style="10" customWidth="1"/>
    <col min="1029" max="1029" width="16.109375" style="10" customWidth="1"/>
    <col min="1030" max="1030" width="18" style="10" customWidth="1"/>
    <col min="1031" max="1031" width="16.5546875" style="10" customWidth="1"/>
    <col min="1032" max="1032" width="14.33203125" style="10" customWidth="1"/>
    <col min="1033" max="1033" width="22.44140625" style="10" customWidth="1"/>
    <col min="1034" max="1034" width="22.5546875" style="10" customWidth="1"/>
    <col min="1035" max="1037" width="9.33203125" style="10" bestFit="1" customWidth="1"/>
    <col min="1038" max="1038" width="10.6640625" style="10" bestFit="1" customWidth="1"/>
    <col min="1039" max="1280" width="9.109375" style="10"/>
    <col min="1281" max="1281" width="52.5546875" style="10" customWidth="1"/>
    <col min="1282" max="1282" width="60" style="10" bestFit="1" customWidth="1"/>
    <col min="1283" max="1283" width="24.88671875" style="10" bestFit="1" customWidth="1"/>
    <col min="1284" max="1284" width="20.109375" style="10" customWidth="1"/>
    <col min="1285" max="1285" width="16.109375" style="10" customWidth="1"/>
    <col min="1286" max="1286" width="18" style="10" customWidth="1"/>
    <col min="1287" max="1287" width="16.5546875" style="10" customWidth="1"/>
    <col min="1288" max="1288" width="14.33203125" style="10" customWidth="1"/>
    <col min="1289" max="1289" width="22.44140625" style="10" customWidth="1"/>
    <col min="1290" max="1290" width="22.5546875" style="10" customWidth="1"/>
    <col min="1291" max="1293" width="9.33203125" style="10" bestFit="1" customWidth="1"/>
    <col min="1294" max="1294" width="10.6640625" style="10" bestFit="1" customWidth="1"/>
    <col min="1295" max="1536" width="9.109375" style="10"/>
    <col min="1537" max="1537" width="52.5546875" style="10" customWidth="1"/>
    <col min="1538" max="1538" width="60" style="10" bestFit="1" customWidth="1"/>
    <col min="1539" max="1539" width="24.88671875" style="10" bestFit="1" customWidth="1"/>
    <col min="1540" max="1540" width="20.109375" style="10" customWidth="1"/>
    <col min="1541" max="1541" width="16.109375" style="10" customWidth="1"/>
    <col min="1542" max="1542" width="18" style="10" customWidth="1"/>
    <col min="1543" max="1543" width="16.5546875" style="10" customWidth="1"/>
    <col min="1544" max="1544" width="14.33203125" style="10" customWidth="1"/>
    <col min="1545" max="1545" width="22.44140625" style="10" customWidth="1"/>
    <col min="1546" max="1546" width="22.5546875" style="10" customWidth="1"/>
    <col min="1547" max="1549" width="9.33203125" style="10" bestFit="1" customWidth="1"/>
    <col min="1550" max="1550" width="10.6640625" style="10" bestFit="1" customWidth="1"/>
    <col min="1551" max="1792" width="9.109375" style="10"/>
    <col min="1793" max="1793" width="52.5546875" style="10" customWidth="1"/>
    <col min="1794" max="1794" width="60" style="10" bestFit="1" customWidth="1"/>
    <col min="1795" max="1795" width="24.88671875" style="10" bestFit="1" customWidth="1"/>
    <col min="1796" max="1796" width="20.109375" style="10" customWidth="1"/>
    <col min="1797" max="1797" width="16.109375" style="10" customWidth="1"/>
    <col min="1798" max="1798" width="18" style="10" customWidth="1"/>
    <col min="1799" max="1799" width="16.5546875" style="10" customWidth="1"/>
    <col min="1800" max="1800" width="14.33203125" style="10" customWidth="1"/>
    <col min="1801" max="1801" width="22.44140625" style="10" customWidth="1"/>
    <col min="1802" max="1802" width="22.5546875" style="10" customWidth="1"/>
    <col min="1803" max="1805" width="9.33203125" style="10" bestFit="1" customWidth="1"/>
    <col min="1806" max="1806" width="10.6640625" style="10" bestFit="1" customWidth="1"/>
    <col min="1807" max="2048" width="9.109375" style="10"/>
    <col min="2049" max="2049" width="52.5546875" style="10" customWidth="1"/>
    <col min="2050" max="2050" width="60" style="10" bestFit="1" customWidth="1"/>
    <col min="2051" max="2051" width="24.88671875" style="10" bestFit="1" customWidth="1"/>
    <col min="2052" max="2052" width="20.109375" style="10" customWidth="1"/>
    <col min="2053" max="2053" width="16.109375" style="10" customWidth="1"/>
    <col min="2054" max="2054" width="18" style="10" customWidth="1"/>
    <col min="2055" max="2055" width="16.5546875" style="10" customWidth="1"/>
    <col min="2056" max="2056" width="14.33203125" style="10" customWidth="1"/>
    <col min="2057" max="2057" width="22.44140625" style="10" customWidth="1"/>
    <col min="2058" max="2058" width="22.5546875" style="10" customWidth="1"/>
    <col min="2059" max="2061" width="9.33203125" style="10" bestFit="1" customWidth="1"/>
    <col min="2062" max="2062" width="10.6640625" style="10" bestFit="1" customWidth="1"/>
    <col min="2063" max="2304" width="9.109375" style="10"/>
    <col min="2305" max="2305" width="52.5546875" style="10" customWidth="1"/>
    <col min="2306" max="2306" width="60" style="10" bestFit="1" customWidth="1"/>
    <col min="2307" max="2307" width="24.88671875" style="10" bestFit="1" customWidth="1"/>
    <col min="2308" max="2308" width="20.109375" style="10" customWidth="1"/>
    <col min="2309" max="2309" width="16.109375" style="10" customWidth="1"/>
    <col min="2310" max="2310" width="18" style="10" customWidth="1"/>
    <col min="2311" max="2311" width="16.5546875" style="10" customWidth="1"/>
    <col min="2312" max="2312" width="14.33203125" style="10" customWidth="1"/>
    <col min="2313" max="2313" width="22.44140625" style="10" customWidth="1"/>
    <col min="2314" max="2314" width="22.5546875" style="10" customWidth="1"/>
    <col min="2315" max="2317" width="9.33203125" style="10" bestFit="1" customWidth="1"/>
    <col min="2318" max="2318" width="10.6640625" style="10" bestFit="1" customWidth="1"/>
    <col min="2319" max="2560" width="9.109375" style="10"/>
    <col min="2561" max="2561" width="52.5546875" style="10" customWidth="1"/>
    <col min="2562" max="2562" width="60" style="10" bestFit="1" customWidth="1"/>
    <col min="2563" max="2563" width="24.88671875" style="10" bestFit="1" customWidth="1"/>
    <col min="2564" max="2564" width="20.109375" style="10" customWidth="1"/>
    <col min="2565" max="2565" width="16.109375" style="10" customWidth="1"/>
    <col min="2566" max="2566" width="18" style="10" customWidth="1"/>
    <col min="2567" max="2567" width="16.5546875" style="10" customWidth="1"/>
    <col min="2568" max="2568" width="14.33203125" style="10" customWidth="1"/>
    <col min="2569" max="2569" width="22.44140625" style="10" customWidth="1"/>
    <col min="2570" max="2570" width="22.5546875" style="10" customWidth="1"/>
    <col min="2571" max="2573" width="9.33203125" style="10" bestFit="1" customWidth="1"/>
    <col min="2574" max="2574" width="10.6640625" style="10" bestFit="1" customWidth="1"/>
    <col min="2575" max="2816" width="9.109375" style="10"/>
    <col min="2817" max="2817" width="52.5546875" style="10" customWidth="1"/>
    <col min="2818" max="2818" width="60" style="10" bestFit="1" customWidth="1"/>
    <col min="2819" max="2819" width="24.88671875" style="10" bestFit="1" customWidth="1"/>
    <col min="2820" max="2820" width="20.109375" style="10" customWidth="1"/>
    <col min="2821" max="2821" width="16.109375" style="10" customWidth="1"/>
    <col min="2822" max="2822" width="18" style="10" customWidth="1"/>
    <col min="2823" max="2823" width="16.5546875" style="10" customWidth="1"/>
    <col min="2824" max="2824" width="14.33203125" style="10" customWidth="1"/>
    <col min="2825" max="2825" width="22.44140625" style="10" customWidth="1"/>
    <col min="2826" max="2826" width="22.5546875" style="10" customWidth="1"/>
    <col min="2827" max="2829" width="9.33203125" style="10" bestFit="1" customWidth="1"/>
    <col min="2830" max="2830" width="10.6640625" style="10" bestFit="1" customWidth="1"/>
    <col min="2831" max="3072" width="9.109375" style="10"/>
    <col min="3073" max="3073" width="52.5546875" style="10" customWidth="1"/>
    <col min="3074" max="3074" width="60" style="10" bestFit="1" customWidth="1"/>
    <col min="3075" max="3075" width="24.88671875" style="10" bestFit="1" customWidth="1"/>
    <col min="3076" max="3076" width="20.109375" style="10" customWidth="1"/>
    <col min="3077" max="3077" width="16.109375" style="10" customWidth="1"/>
    <col min="3078" max="3078" width="18" style="10" customWidth="1"/>
    <col min="3079" max="3079" width="16.5546875" style="10" customWidth="1"/>
    <col min="3080" max="3080" width="14.33203125" style="10" customWidth="1"/>
    <col min="3081" max="3081" width="22.44140625" style="10" customWidth="1"/>
    <col min="3082" max="3082" width="22.5546875" style="10" customWidth="1"/>
    <col min="3083" max="3085" width="9.33203125" style="10" bestFit="1" customWidth="1"/>
    <col min="3086" max="3086" width="10.6640625" style="10" bestFit="1" customWidth="1"/>
    <col min="3087" max="3328" width="9.109375" style="10"/>
    <col min="3329" max="3329" width="52.5546875" style="10" customWidth="1"/>
    <col min="3330" max="3330" width="60" style="10" bestFit="1" customWidth="1"/>
    <col min="3331" max="3331" width="24.88671875" style="10" bestFit="1" customWidth="1"/>
    <col min="3332" max="3332" width="20.109375" style="10" customWidth="1"/>
    <col min="3333" max="3333" width="16.109375" style="10" customWidth="1"/>
    <col min="3334" max="3334" width="18" style="10" customWidth="1"/>
    <col min="3335" max="3335" width="16.5546875" style="10" customWidth="1"/>
    <col min="3336" max="3336" width="14.33203125" style="10" customWidth="1"/>
    <col min="3337" max="3337" width="22.44140625" style="10" customWidth="1"/>
    <col min="3338" max="3338" width="22.5546875" style="10" customWidth="1"/>
    <col min="3339" max="3341" width="9.33203125" style="10" bestFit="1" customWidth="1"/>
    <col min="3342" max="3342" width="10.6640625" style="10" bestFit="1" customWidth="1"/>
    <col min="3343" max="3584" width="9.109375" style="10"/>
    <col min="3585" max="3585" width="52.5546875" style="10" customWidth="1"/>
    <col min="3586" max="3586" width="60" style="10" bestFit="1" customWidth="1"/>
    <col min="3587" max="3587" width="24.88671875" style="10" bestFit="1" customWidth="1"/>
    <col min="3588" max="3588" width="20.109375" style="10" customWidth="1"/>
    <col min="3589" max="3589" width="16.109375" style="10" customWidth="1"/>
    <col min="3590" max="3590" width="18" style="10" customWidth="1"/>
    <col min="3591" max="3591" width="16.5546875" style="10" customWidth="1"/>
    <col min="3592" max="3592" width="14.33203125" style="10" customWidth="1"/>
    <col min="3593" max="3593" width="22.44140625" style="10" customWidth="1"/>
    <col min="3594" max="3594" width="22.5546875" style="10" customWidth="1"/>
    <col min="3595" max="3597" width="9.33203125" style="10" bestFit="1" customWidth="1"/>
    <col min="3598" max="3598" width="10.6640625" style="10" bestFit="1" customWidth="1"/>
    <col min="3599" max="3840" width="9.109375" style="10"/>
    <col min="3841" max="3841" width="52.5546875" style="10" customWidth="1"/>
    <col min="3842" max="3842" width="60" style="10" bestFit="1" customWidth="1"/>
    <col min="3843" max="3843" width="24.88671875" style="10" bestFit="1" customWidth="1"/>
    <col min="3844" max="3844" width="20.109375" style="10" customWidth="1"/>
    <col min="3845" max="3845" width="16.109375" style="10" customWidth="1"/>
    <col min="3846" max="3846" width="18" style="10" customWidth="1"/>
    <col min="3847" max="3847" width="16.5546875" style="10" customWidth="1"/>
    <col min="3848" max="3848" width="14.33203125" style="10" customWidth="1"/>
    <col min="3849" max="3849" width="22.44140625" style="10" customWidth="1"/>
    <col min="3850" max="3850" width="22.5546875" style="10" customWidth="1"/>
    <col min="3851" max="3853" width="9.33203125" style="10" bestFit="1" customWidth="1"/>
    <col min="3854" max="3854" width="10.6640625" style="10" bestFit="1" customWidth="1"/>
    <col min="3855" max="4096" width="9.109375" style="10"/>
    <col min="4097" max="4097" width="52.5546875" style="10" customWidth="1"/>
    <col min="4098" max="4098" width="60" style="10" bestFit="1" customWidth="1"/>
    <col min="4099" max="4099" width="24.88671875" style="10" bestFit="1" customWidth="1"/>
    <col min="4100" max="4100" width="20.109375" style="10" customWidth="1"/>
    <col min="4101" max="4101" width="16.109375" style="10" customWidth="1"/>
    <col min="4102" max="4102" width="18" style="10" customWidth="1"/>
    <col min="4103" max="4103" width="16.5546875" style="10" customWidth="1"/>
    <col min="4104" max="4104" width="14.33203125" style="10" customWidth="1"/>
    <col min="4105" max="4105" width="22.44140625" style="10" customWidth="1"/>
    <col min="4106" max="4106" width="22.5546875" style="10" customWidth="1"/>
    <col min="4107" max="4109" width="9.33203125" style="10" bestFit="1" customWidth="1"/>
    <col min="4110" max="4110" width="10.6640625" style="10" bestFit="1" customWidth="1"/>
    <col min="4111" max="4352" width="9.109375" style="10"/>
    <col min="4353" max="4353" width="52.5546875" style="10" customWidth="1"/>
    <col min="4354" max="4354" width="60" style="10" bestFit="1" customWidth="1"/>
    <col min="4355" max="4355" width="24.88671875" style="10" bestFit="1" customWidth="1"/>
    <col min="4356" max="4356" width="20.109375" style="10" customWidth="1"/>
    <col min="4357" max="4357" width="16.109375" style="10" customWidth="1"/>
    <col min="4358" max="4358" width="18" style="10" customWidth="1"/>
    <col min="4359" max="4359" width="16.5546875" style="10" customWidth="1"/>
    <col min="4360" max="4360" width="14.33203125" style="10" customWidth="1"/>
    <col min="4361" max="4361" width="22.44140625" style="10" customWidth="1"/>
    <col min="4362" max="4362" width="22.5546875" style="10" customWidth="1"/>
    <col min="4363" max="4365" width="9.33203125" style="10" bestFit="1" customWidth="1"/>
    <col min="4366" max="4366" width="10.6640625" style="10" bestFit="1" customWidth="1"/>
    <col min="4367" max="4608" width="9.109375" style="10"/>
    <col min="4609" max="4609" width="52.5546875" style="10" customWidth="1"/>
    <col min="4610" max="4610" width="60" style="10" bestFit="1" customWidth="1"/>
    <col min="4611" max="4611" width="24.88671875" style="10" bestFit="1" customWidth="1"/>
    <col min="4612" max="4612" width="20.109375" style="10" customWidth="1"/>
    <col min="4613" max="4613" width="16.109375" style="10" customWidth="1"/>
    <col min="4614" max="4614" width="18" style="10" customWidth="1"/>
    <col min="4615" max="4615" width="16.5546875" style="10" customWidth="1"/>
    <col min="4616" max="4616" width="14.33203125" style="10" customWidth="1"/>
    <col min="4617" max="4617" width="22.44140625" style="10" customWidth="1"/>
    <col min="4618" max="4618" width="22.5546875" style="10" customWidth="1"/>
    <col min="4619" max="4621" width="9.33203125" style="10" bestFit="1" customWidth="1"/>
    <col min="4622" max="4622" width="10.6640625" style="10" bestFit="1" customWidth="1"/>
    <col min="4623" max="4864" width="9.109375" style="10"/>
    <col min="4865" max="4865" width="52.5546875" style="10" customWidth="1"/>
    <col min="4866" max="4866" width="60" style="10" bestFit="1" customWidth="1"/>
    <col min="4867" max="4867" width="24.88671875" style="10" bestFit="1" customWidth="1"/>
    <col min="4868" max="4868" width="20.109375" style="10" customWidth="1"/>
    <col min="4869" max="4869" width="16.109375" style="10" customWidth="1"/>
    <col min="4870" max="4870" width="18" style="10" customWidth="1"/>
    <col min="4871" max="4871" width="16.5546875" style="10" customWidth="1"/>
    <col min="4872" max="4872" width="14.33203125" style="10" customWidth="1"/>
    <col min="4873" max="4873" width="22.44140625" style="10" customWidth="1"/>
    <col min="4874" max="4874" width="22.5546875" style="10" customWidth="1"/>
    <col min="4875" max="4877" width="9.33203125" style="10" bestFit="1" customWidth="1"/>
    <col min="4878" max="4878" width="10.6640625" style="10" bestFit="1" customWidth="1"/>
    <col min="4879" max="5120" width="9.109375" style="10"/>
    <col min="5121" max="5121" width="52.5546875" style="10" customWidth="1"/>
    <col min="5122" max="5122" width="60" style="10" bestFit="1" customWidth="1"/>
    <col min="5123" max="5123" width="24.88671875" style="10" bestFit="1" customWidth="1"/>
    <col min="5124" max="5124" width="20.109375" style="10" customWidth="1"/>
    <col min="5125" max="5125" width="16.109375" style="10" customWidth="1"/>
    <col min="5126" max="5126" width="18" style="10" customWidth="1"/>
    <col min="5127" max="5127" width="16.5546875" style="10" customWidth="1"/>
    <col min="5128" max="5128" width="14.33203125" style="10" customWidth="1"/>
    <col min="5129" max="5129" width="22.44140625" style="10" customWidth="1"/>
    <col min="5130" max="5130" width="22.5546875" style="10" customWidth="1"/>
    <col min="5131" max="5133" width="9.33203125" style="10" bestFit="1" customWidth="1"/>
    <col min="5134" max="5134" width="10.6640625" style="10" bestFit="1" customWidth="1"/>
    <col min="5135" max="5376" width="9.109375" style="10"/>
    <col min="5377" max="5377" width="52.5546875" style="10" customWidth="1"/>
    <col min="5378" max="5378" width="60" style="10" bestFit="1" customWidth="1"/>
    <col min="5379" max="5379" width="24.88671875" style="10" bestFit="1" customWidth="1"/>
    <col min="5380" max="5380" width="20.109375" style="10" customWidth="1"/>
    <col min="5381" max="5381" width="16.109375" style="10" customWidth="1"/>
    <col min="5382" max="5382" width="18" style="10" customWidth="1"/>
    <col min="5383" max="5383" width="16.5546875" style="10" customWidth="1"/>
    <col min="5384" max="5384" width="14.33203125" style="10" customWidth="1"/>
    <col min="5385" max="5385" width="22.44140625" style="10" customWidth="1"/>
    <col min="5386" max="5386" width="22.5546875" style="10" customWidth="1"/>
    <col min="5387" max="5389" width="9.33203125" style="10" bestFit="1" customWidth="1"/>
    <col min="5390" max="5390" width="10.6640625" style="10" bestFit="1" customWidth="1"/>
    <col min="5391" max="5632" width="9.109375" style="10"/>
    <col min="5633" max="5633" width="52.5546875" style="10" customWidth="1"/>
    <col min="5634" max="5634" width="60" style="10" bestFit="1" customWidth="1"/>
    <col min="5635" max="5635" width="24.88671875" style="10" bestFit="1" customWidth="1"/>
    <col min="5636" max="5636" width="20.109375" style="10" customWidth="1"/>
    <col min="5637" max="5637" width="16.109375" style="10" customWidth="1"/>
    <col min="5638" max="5638" width="18" style="10" customWidth="1"/>
    <col min="5639" max="5639" width="16.5546875" style="10" customWidth="1"/>
    <col min="5640" max="5640" width="14.33203125" style="10" customWidth="1"/>
    <col min="5641" max="5641" width="22.44140625" style="10" customWidth="1"/>
    <col min="5642" max="5642" width="22.5546875" style="10" customWidth="1"/>
    <col min="5643" max="5645" width="9.33203125" style="10" bestFit="1" customWidth="1"/>
    <col min="5646" max="5646" width="10.6640625" style="10" bestFit="1" customWidth="1"/>
    <col min="5647" max="5888" width="9.109375" style="10"/>
    <col min="5889" max="5889" width="52.5546875" style="10" customWidth="1"/>
    <col min="5890" max="5890" width="60" style="10" bestFit="1" customWidth="1"/>
    <col min="5891" max="5891" width="24.88671875" style="10" bestFit="1" customWidth="1"/>
    <col min="5892" max="5892" width="20.109375" style="10" customWidth="1"/>
    <col min="5893" max="5893" width="16.109375" style="10" customWidth="1"/>
    <col min="5894" max="5894" width="18" style="10" customWidth="1"/>
    <col min="5895" max="5895" width="16.5546875" style="10" customWidth="1"/>
    <col min="5896" max="5896" width="14.33203125" style="10" customWidth="1"/>
    <col min="5897" max="5897" width="22.44140625" style="10" customWidth="1"/>
    <col min="5898" max="5898" width="22.5546875" style="10" customWidth="1"/>
    <col min="5899" max="5901" width="9.33203125" style="10" bestFit="1" customWidth="1"/>
    <col min="5902" max="5902" width="10.6640625" style="10" bestFit="1" customWidth="1"/>
    <col min="5903" max="6144" width="9.109375" style="10"/>
    <col min="6145" max="6145" width="52.5546875" style="10" customWidth="1"/>
    <col min="6146" max="6146" width="60" style="10" bestFit="1" customWidth="1"/>
    <col min="6147" max="6147" width="24.88671875" style="10" bestFit="1" customWidth="1"/>
    <col min="6148" max="6148" width="20.109375" style="10" customWidth="1"/>
    <col min="6149" max="6149" width="16.109375" style="10" customWidth="1"/>
    <col min="6150" max="6150" width="18" style="10" customWidth="1"/>
    <col min="6151" max="6151" width="16.5546875" style="10" customWidth="1"/>
    <col min="6152" max="6152" width="14.33203125" style="10" customWidth="1"/>
    <col min="6153" max="6153" width="22.44140625" style="10" customWidth="1"/>
    <col min="6154" max="6154" width="22.5546875" style="10" customWidth="1"/>
    <col min="6155" max="6157" width="9.33203125" style="10" bestFit="1" customWidth="1"/>
    <col min="6158" max="6158" width="10.6640625" style="10" bestFit="1" customWidth="1"/>
    <col min="6159" max="6400" width="9.109375" style="10"/>
    <col min="6401" max="6401" width="52.5546875" style="10" customWidth="1"/>
    <col min="6402" max="6402" width="60" style="10" bestFit="1" customWidth="1"/>
    <col min="6403" max="6403" width="24.88671875" style="10" bestFit="1" customWidth="1"/>
    <col min="6404" max="6404" width="20.109375" style="10" customWidth="1"/>
    <col min="6405" max="6405" width="16.109375" style="10" customWidth="1"/>
    <col min="6406" max="6406" width="18" style="10" customWidth="1"/>
    <col min="6407" max="6407" width="16.5546875" style="10" customWidth="1"/>
    <col min="6408" max="6408" width="14.33203125" style="10" customWidth="1"/>
    <col min="6409" max="6409" width="22.44140625" style="10" customWidth="1"/>
    <col min="6410" max="6410" width="22.5546875" style="10" customWidth="1"/>
    <col min="6411" max="6413" width="9.33203125" style="10" bestFit="1" customWidth="1"/>
    <col min="6414" max="6414" width="10.6640625" style="10" bestFit="1" customWidth="1"/>
    <col min="6415" max="6656" width="9.109375" style="10"/>
    <col min="6657" max="6657" width="52.5546875" style="10" customWidth="1"/>
    <col min="6658" max="6658" width="60" style="10" bestFit="1" customWidth="1"/>
    <col min="6659" max="6659" width="24.88671875" style="10" bestFit="1" customWidth="1"/>
    <col min="6660" max="6660" width="20.109375" style="10" customWidth="1"/>
    <col min="6661" max="6661" width="16.109375" style="10" customWidth="1"/>
    <col min="6662" max="6662" width="18" style="10" customWidth="1"/>
    <col min="6663" max="6663" width="16.5546875" style="10" customWidth="1"/>
    <col min="6664" max="6664" width="14.33203125" style="10" customWidth="1"/>
    <col min="6665" max="6665" width="22.44140625" style="10" customWidth="1"/>
    <col min="6666" max="6666" width="22.5546875" style="10" customWidth="1"/>
    <col min="6667" max="6669" width="9.33203125" style="10" bestFit="1" customWidth="1"/>
    <col min="6670" max="6670" width="10.6640625" style="10" bestFit="1" customWidth="1"/>
    <col min="6671" max="6912" width="9.109375" style="10"/>
    <col min="6913" max="6913" width="52.5546875" style="10" customWidth="1"/>
    <col min="6914" max="6914" width="60" style="10" bestFit="1" customWidth="1"/>
    <col min="6915" max="6915" width="24.88671875" style="10" bestFit="1" customWidth="1"/>
    <col min="6916" max="6916" width="20.109375" style="10" customWidth="1"/>
    <col min="6917" max="6917" width="16.109375" style="10" customWidth="1"/>
    <col min="6918" max="6918" width="18" style="10" customWidth="1"/>
    <col min="6919" max="6919" width="16.5546875" style="10" customWidth="1"/>
    <col min="6920" max="6920" width="14.33203125" style="10" customWidth="1"/>
    <col min="6921" max="6921" width="22.44140625" style="10" customWidth="1"/>
    <col min="6922" max="6922" width="22.5546875" style="10" customWidth="1"/>
    <col min="6923" max="6925" width="9.33203125" style="10" bestFit="1" customWidth="1"/>
    <col min="6926" max="6926" width="10.6640625" style="10" bestFit="1" customWidth="1"/>
    <col min="6927" max="7168" width="9.109375" style="10"/>
    <col min="7169" max="7169" width="52.5546875" style="10" customWidth="1"/>
    <col min="7170" max="7170" width="60" style="10" bestFit="1" customWidth="1"/>
    <col min="7171" max="7171" width="24.88671875" style="10" bestFit="1" customWidth="1"/>
    <col min="7172" max="7172" width="20.109375" style="10" customWidth="1"/>
    <col min="7173" max="7173" width="16.109375" style="10" customWidth="1"/>
    <col min="7174" max="7174" width="18" style="10" customWidth="1"/>
    <col min="7175" max="7175" width="16.5546875" style="10" customWidth="1"/>
    <col min="7176" max="7176" width="14.33203125" style="10" customWidth="1"/>
    <col min="7177" max="7177" width="22.44140625" style="10" customWidth="1"/>
    <col min="7178" max="7178" width="22.5546875" style="10" customWidth="1"/>
    <col min="7179" max="7181" width="9.33203125" style="10" bestFit="1" customWidth="1"/>
    <col min="7182" max="7182" width="10.6640625" style="10" bestFit="1" customWidth="1"/>
    <col min="7183" max="7424" width="9.109375" style="10"/>
    <col min="7425" max="7425" width="52.5546875" style="10" customWidth="1"/>
    <col min="7426" max="7426" width="60" style="10" bestFit="1" customWidth="1"/>
    <col min="7427" max="7427" width="24.88671875" style="10" bestFit="1" customWidth="1"/>
    <col min="7428" max="7428" width="20.109375" style="10" customWidth="1"/>
    <col min="7429" max="7429" width="16.109375" style="10" customWidth="1"/>
    <col min="7430" max="7430" width="18" style="10" customWidth="1"/>
    <col min="7431" max="7431" width="16.5546875" style="10" customWidth="1"/>
    <col min="7432" max="7432" width="14.33203125" style="10" customWidth="1"/>
    <col min="7433" max="7433" width="22.44140625" style="10" customWidth="1"/>
    <col min="7434" max="7434" width="22.5546875" style="10" customWidth="1"/>
    <col min="7435" max="7437" width="9.33203125" style="10" bestFit="1" customWidth="1"/>
    <col min="7438" max="7438" width="10.6640625" style="10" bestFit="1" customWidth="1"/>
    <col min="7439" max="7680" width="9.109375" style="10"/>
    <col min="7681" max="7681" width="52.5546875" style="10" customWidth="1"/>
    <col min="7682" max="7682" width="60" style="10" bestFit="1" customWidth="1"/>
    <col min="7683" max="7683" width="24.88671875" style="10" bestFit="1" customWidth="1"/>
    <col min="7684" max="7684" width="20.109375" style="10" customWidth="1"/>
    <col min="7685" max="7685" width="16.109375" style="10" customWidth="1"/>
    <col min="7686" max="7686" width="18" style="10" customWidth="1"/>
    <col min="7687" max="7687" width="16.5546875" style="10" customWidth="1"/>
    <col min="7688" max="7688" width="14.33203125" style="10" customWidth="1"/>
    <col min="7689" max="7689" width="22.44140625" style="10" customWidth="1"/>
    <col min="7690" max="7690" width="22.5546875" style="10" customWidth="1"/>
    <col min="7691" max="7693" width="9.33203125" style="10" bestFit="1" customWidth="1"/>
    <col min="7694" max="7694" width="10.6640625" style="10" bestFit="1" customWidth="1"/>
    <col min="7695" max="7936" width="9.109375" style="10"/>
    <col min="7937" max="7937" width="52.5546875" style="10" customWidth="1"/>
    <col min="7938" max="7938" width="60" style="10" bestFit="1" customWidth="1"/>
    <col min="7939" max="7939" width="24.88671875" style="10" bestFit="1" customWidth="1"/>
    <col min="7940" max="7940" width="20.109375" style="10" customWidth="1"/>
    <col min="7941" max="7941" width="16.109375" style="10" customWidth="1"/>
    <col min="7942" max="7942" width="18" style="10" customWidth="1"/>
    <col min="7943" max="7943" width="16.5546875" style="10" customWidth="1"/>
    <col min="7944" max="7944" width="14.33203125" style="10" customWidth="1"/>
    <col min="7945" max="7945" width="22.44140625" style="10" customWidth="1"/>
    <col min="7946" max="7946" width="22.5546875" style="10" customWidth="1"/>
    <col min="7947" max="7949" width="9.33203125" style="10" bestFit="1" customWidth="1"/>
    <col min="7950" max="7950" width="10.6640625" style="10" bestFit="1" customWidth="1"/>
    <col min="7951" max="8192" width="9.109375" style="10"/>
    <col min="8193" max="8193" width="52.5546875" style="10" customWidth="1"/>
    <col min="8194" max="8194" width="60" style="10" bestFit="1" customWidth="1"/>
    <col min="8195" max="8195" width="24.88671875" style="10" bestFit="1" customWidth="1"/>
    <col min="8196" max="8196" width="20.109375" style="10" customWidth="1"/>
    <col min="8197" max="8197" width="16.109375" style="10" customWidth="1"/>
    <col min="8198" max="8198" width="18" style="10" customWidth="1"/>
    <col min="8199" max="8199" width="16.5546875" style="10" customWidth="1"/>
    <col min="8200" max="8200" width="14.33203125" style="10" customWidth="1"/>
    <col min="8201" max="8201" width="22.44140625" style="10" customWidth="1"/>
    <col min="8202" max="8202" width="22.5546875" style="10" customWidth="1"/>
    <col min="8203" max="8205" width="9.33203125" style="10" bestFit="1" customWidth="1"/>
    <col min="8206" max="8206" width="10.6640625" style="10" bestFit="1" customWidth="1"/>
    <col min="8207" max="8448" width="9.109375" style="10"/>
    <col min="8449" max="8449" width="52.5546875" style="10" customWidth="1"/>
    <col min="8450" max="8450" width="60" style="10" bestFit="1" customWidth="1"/>
    <col min="8451" max="8451" width="24.88671875" style="10" bestFit="1" customWidth="1"/>
    <col min="8452" max="8452" width="20.109375" style="10" customWidth="1"/>
    <col min="8453" max="8453" width="16.109375" style="10" customWidth="1"/>
    <col min="8454" max="8454" width="18" style="10" customWidth="1"/>
    <col min="8455" max="8455" width="16.5546875" style="10" customWidth="1"/>
    <col min="8456" max="8456" width="14.33203125" style="10" customWidth="1"/>
    <col min="8457" max="8457" width="22.44140625" style="10" customWidth="1"/>
    <col min="8458" max="8458" width="22.5546875" style="10" customWidth="1"/>
    <col min="8459" max="8461" width="9.33203125" style="10" bestFit="1" customWidth="1"/>
    <col min="8462" max="8462" width="10.6640625" style="10" bestFit="1" customWidth="1"/>
    <col min="8463" max="8704" width="9.109375" style="10"/>
    <col min="8705" max="8705" width="52.5546875" style="10" customWidth="1"/>
    <col min="8706" max="8706" width="60" style="10" bestFit="1" customWidth="1"/>
    <col min="8707" max="8707" width="24.88671875" style="10" bestFit="1" customWidth="1"/>
    <col min="8708" max="8708" width="20.109375" style="10" customWidth="1"/>
    <col min="8709" max="8709" width="16.109375" style="10" customWidth="1"/>
    <col min="8710" max="8710" width="18" style="10" customWidth="1"/>
    <col min="8711" max="8711" width="16.5546875" style="10" customWidth="1"/>
    <col min="8712" max="8712" width="14.33203125" style="10" customWidth="1"/>
    <col min="8713" max="8713" width="22.44140625" style="10" customWidth="1"/>
    <col min="8714" max="8714" width="22.5546875" style="10" customWidth="1"/>
    <col min="8715" max="8717" width="9.33203125" style="10" bestFit="1" customWidth="1"/>
    <col min="8718" max="8718" width="10.6640625" style="10" bestFit="1" customWidth="1"/>
    <col min="8719" max="8960" width="9.109375" style="10"/>
    <col min="8961" max="8961" width="52.5546875" style="10" customWidth="1"/>
    <col min="8962" max="8962" width="60" style="10" bestFit="1" customWidth="1"/>
    <col min="8963" max="8963" width="24.88671875" style="10" bestFit="1" customWidth="1"/>
    <col min="8964" max="8964" width="20.109375" style="10" customWidth="1"/>
    <col min="8965" max="8965" width="16.109375" style="10" customWidth="1"/>
    <col min="8966" max="8966" width="18" style="10" customWidth="1"/>
    <col min="8967" max="8967" width="16.5546875" style="10" customWidth="1"/>
    <col min="8968" max="8968" width="14.33203125" style="10" customWidth="1"/>
    <col min="8969" max="8969" width="22.44140625" style="10" customWidth="1"/>
    <col min="8970" max="8970" width="22.5546875" style="10" customWidth="1"/>
    <col min="8971" max="8973" width="9.33203125" style="10" bestFit="1" customWidth="1"/>
    <col min="8974" max="8974" width="10.6640625" style="10" bestFit="1" customWidth="1"/>
    <col min="8975" max="9216" width="9.109375" style="10"/>
    <col min="9217" max="9217" width="52.5546875" style="10" customWidth="1"/>
    <col min="9218" max="9218" width="60" style="10" bestFit="1" customWidth="1"/>
    <col min="9219" max="9219" width="24.88671875" style="10" bestFit="1" customWidth="1"/>
    <col min="9220" max="9220" width="20.109375" style="10" customWidth="1"/>
    <col min="9221" max="9221" width="16.109375" style="10" customWidth="1"/>
    <col min="9222" max="9222" width="18" style="10" customWidth="1"/>
    <col min="9223" max="9223" width="16.5546875" style="10" customWidth="1"/>
    <col min="9224" max="9224" width="14.33203125" style="10" customWidth="1"/>
    <col min="9225" max="9225" width="22.44140625" style="10" customWidth="1"/>
    <col min="9226" max="9226" width="22.5546875" style="10" customWidth="1"/>
    <col min="9227" max="9229" width="9.33203125" style="10" bestFit="1" customWidth="1"/>
    <col min="9230" max="9230" width="10.6640625" style="10" bestFit="1" customWidth="1"/>
    <col min="9231" max="9472" width="9.109375" style="10"/>
    <col min="9473" max="9473" width="52.5546875" style="10" customWidth="1"/>
    <col min="9474" max="9474" width="60" style="10" bestFit="1" customWidth="1"/>
    <col min="9475" max="9475" width="24.88671875" style="10" bestFit="1" customWidth="1"/>
    <col min="9476" max="9476" width="20.109375" style="10" customWidth="1"/>
    <col min="9477" max="9477" width="16.109375" style="10" customWidth="1"/>
    <col min="9478" max="9478" width="18" style="10" customWidth="1"/>
    <col min="9479" max="9479" width="16.5546875" style="10" customWidth="1"/>
    <col min="9480" max="9480" width="14.33203125" style="10" customWidth="1"/>
    <col min="9481" max="9481" width="22.44140625" style="10" customWidth="1"/>
    <col min="9482" max="9482" width="22.5546875" style="10" customWidth="1"/>
    <col min="9483" max="9485" width="9.33203125" style="10" bestFit="1" customWidth="1"/>
    <col min="9486" max="9486" width="10.6640625" style="10" bestFit="1" customWidth="1"/>
    <col min="9487" max="9728" width="9.109375" style="10"/>
    <col min="9729" max="9729" width="52.5546875" style="10" customWidth="1"/>
    <col min="9730" max="9730" width="60" style="10" bestFit="1" customWidth="1"/>
    <col min="9731" max="9731" width="24.88671875" style="10" bestFit="1" customWidth="1"/>
    <col min="9732" max="9732" width="20.109375" style="10" customWidth="1"/>
    <col min="9733" max="9733" width="16.109375" style="10" customWidth="1"/>
    <col min="9734" max="9734" width="18" style="10" customWidth="1"/>
    <col min="9735" max="9735" width="16.5546875" style="10" customWidth="1"/>
    <col min="9736" max="9736" width="14.33203125" style="10" customWidth="1"/>
    <col min="9737" max="9737" width="22.44140625" style="10" customWidth="1"/>
    <col min="9738" max="9738" width="22.5546875" style="10" customWidth="1"/>
    <col min="9739" max="9741" width="9.33203125" style="10" bestFit="1" customWidth="1"/>
    <col min="9742" max="9742" width="10.6640625" style="10" bestFit="1" customWidth="1"/>
    <col min="9743" max="9984" width="9.109375" style="10"/>
    <col min="9985" max="9985" width="52.5546875" style="10" customWidth="1"/>
    <col min="9986" max="9986" width="60" style="10" bestFit="1" customWidth="1"/>
    <col min="9987" max="9987" width="24.88671875" style="10" bestFit="1" customWidth="1"/>
    <col min="9988" max="9988" width="20.109375" style="10" customWidth="1"/>
    <col min="9989" max="9989" width="16.109375" style="10" customWidth="1"/>
    <col min="9990" max="9990" width="18" style="10" customWidth="1"/>
    <col min="9991" max="9991" width="16.5546875" style="10" customWidth="1"/>
    <col min="9992" max="9992" width="14.33203125" style="10" customWidth="1"/>
    <col min="9993" max="9993" width="22.44140625" style="10" customWidth="1"/>
    <col min="9994" max="9994" width="22.5546875" style="10" customWidth="1"/>
    <col min="9995" max="9997" width="9.33203125" style="10" bestFit="1" customWidth="1"/>
    <col min="9998" max="9998" width="10.6640625" style="10" bestFit="1" customWidth="1"/>
    <col min="9999" max="10240" width="9.109375" style="10"/>
    <col min="10241" max="10241" width="52.5546875" style="10" customWidth="1"/>
    <col min="10242" max="10242" width="60" style="10" bestFit="1" customWidth="1"/>
    <col min="10243" max="10243" width="24.88671875" style="10" bestFit="1" customWidth="1"/>
    <col min="10244" max="10244" width="20.109375" style="10" customWidth="1"/>
    <col min="10245" max="10245" width="16.109375" style="10" customWidth="1"/>
    <col min="10246" max="10246" width="18" style="10" customWidth="1"/>
    <col min="10247" max="10247" width="16.5546875" style="10" customWidth="1"/>
    <col min="10248" max="10248" width="14.33203125" style="10" customWidth="1"/>
    <col min="10249" max="10249" width="22.44140625" style="10" customWidth="1"/>
    <col min="10250" max="10250" width="22.5546875" style="10" customWidth="1"/>
    <col min="10251" max="10253" width="9.33203125" style="10" bestFit="1" customWidth="1"/>
    <col min="10254" max="10254" width="10.6640625" style="10" bestFit="1" customWidth="1"/>
    <col min="10255" max="10496" width="9.109375" style="10"/>
    <col min="10497" max="10497" width="52.5546875" style="10" customWidth="1"/>
    <col min="10498" max="10498" width="60" style="10" bestFit="1" customWidth="1"/>
    <col min="10499" max="10499" width="24.88671875" style="10" bestFit="1" customWidth="1"/>
    <col min="10500" max="10500" width="20.109375" style="10" customWidth="1"/>
    <col min="10501" max="10501" width="16.109375" style="10" customWidth="1"/>
    <col min="10502" max="10502" width="18" style="10" customWidth="1"/>
    <col min="10503" max="10503" width="16.5546875" style="10" customWidth="1"/>
    <col min="10504" max="10504" width="14.33203125" style="10" customWidth="1"/>
    <col min="10505" max="10505" width="22.44140625" style="10" customWidth="1"/>
    <col min="10506" max="10506" width="22.5546875" style="10" customWidth="1"/>
    <col min="10507" max="10509" width="9.33203125" style="10" bestFit="1" customWidth="1"/>
    <col min="10510" max="10510" width="10.6640625" style="10" bestFit="1" customWidth="1"/>
    <col min="10511" max="10752" width="9.109375" style="10"/>
    <col min="10753" max="10753" width="52.5546875" style="10" customWidth="1"/>
    <col min="10754" max="10754" width="60" style="10" bestFit="1" customWidth="1"/>
    <col min="10755" max="10755" width="24.88671875" style="10" bestFit="1" customWidth="1"/>
    <col min="10756" max="10756" width="20.109375" style="10" customWidth="1"/>
    <col min="10757" max="10757" width="16.109375" style="10" customWidth="1"/>
    <col min="10758" max="10758" width="18" style="10" customWidth="1"/>
    <col min="10759" max="10759" width="16.5546875" style="10" customWidth="1"/>
    <col min="10760" max="10760" width="14.33203125" style="10" customWidth="1"/>
    <col min="10761" max="10761" width="22.44140625" style="10" customWidth="1"/>
    <col min="10762" max="10762" width="22.5546875" style="10" customWidth="1"/>
    <col min="10763" max="10765" width="9.33203125" style="10" bestFit="1" customWidth="1"/>
    <col min="10766" max="10766" width="10.6640625" style="10" bestFit="1" customWidth="1"/>
    <col min="10767" max="11008" width="9.109375" style="10"/>
    <col min="11009" max="11009" width="52.5546875" style="10" customWidth="1"/>
    <col min="11010" max="11010" width="60" style="10" bestFit="1" customWidth="1"/>
    <col min="11011" max="11011" width="24.88671875" style="10" bestFit="1" customWidth="1"/>
    <col min="11012" max="11012" width="20.109375" style="10" customWidth="1"/>
    <col min="11013" max="11013" width="16.109375" style="10" customWidth="1"/>
    <col min="11014" max="11014" width="18" style="10" customWidth="1"/>
    <col min="11015" max="11015" width="16.5546875" style="10" customWidth="1"/>
    <col min="11016" max="11016" width="14.33203125" style="10" customWidth="1"/>
    <col min="11017" max="11017" width="22.44140625" style="10" customWidth="1"/>
    <col min="11018" max="11018" width="22.5546875" style="10" customWidth="1"/>
    <col min="11019" max="11021" width="9.33203125" style="10" bestFit="1" customWidth="1"/>
    <col min="11022" max="11022" width="10.6640625" style="10" bestFit="1" customWidth="1"/>
    <col min="11023" max="11264" width="9.109375" style="10"/>
    <col min="11265" max="11265" width="52.5546875" style="10" customWidth="1"/>
    <col min="11266" max="11266" width="60" style="10" bestFit="1" customWidth="1"/>
    <col min="11267" max="11267" width="24.88671875" style="10" bestFit="1" customWidth="1"/>
    <col min="11268" max="11268" width="20.109375" style="10" customWidth="1"/>
    <col min="11269" max="11269" width="16.109375" style="10" customWidth="1"/>
    <col min="11270" max="11270" width="18" style="10" customWidth="1"/>
    <col min="11271" max="11271" width="16.5546875" style="10" customWidth="1"/>
    <col min="11272" max="11272" width="14.33203125" style="10" customWidth="1"/>
    <col min="11273" max="11273" width="22.44140625" style="10" customWidth="1"/>
    <col min="11274" max="11274" width="22.5546875" style="10" customWidth="1"/>
    <col min="11275" max="11277" width="9.33203125" style="10" bestFit="1" customWidth="1"/>
    <col min="11278" max="11278" width="10.6640625" style="10" bestFit="1" customWidth="1"/>
    <col min="11279" max="11520" width="9.109375" style="10"/>
    <col min="11521" max="11521" width="52.5546875" style="10" customWidth="1"/>
    <col min="11522" max="11522" width="60" style="10" bestFit="1" customWidth="1"/>
    <col min="11523" max="11523" width="24.88671875" style="10" bestFit="1" customWidth="1"/>
    <col min="11524" max="11524" width="20.109375" style="10" customWidth="1"/>
    <col min="11525" max="11525" width="16.109375" style="10" customWidth="1"/>
    <col min="11526" max="11526" width="18" style="10" customWidth="1"/>
    <col min="11527" max="11527" width="16.5546875" style="10" customWidth="1"/>
    <col min="11528" max="11528" width="14.33203125" style="10" customWidth="1"/>
    <col min="11529" max="11529" width="22.44140625" style="10" customWidth="1"/>
    <col min="11530" max="11530" width="22.5546875" style="10" customWidth="1"/>
    <col min="11531" max="11533" width="9.33203125" style="10" bestFit="1" customWidth="1"/>
    <col min="11534" max="11534" width="10.6640625" style="10" bestFit="1" customWidth="1"/>
    <col min="11535" max="11776" width="9.109375" style="10"/>
    <col min="11777" max="11777" width="52.5546875" style="10" customWidth="1"/>
    <col min="11778" max="11778" width="60" style="10" bestFit="1" customWidth="1"/>
    <col min="11779" max="11779" width="24.88671875" style="10" bestFit="1" customWidth="1"/>
    <col min="11780" max="11780" width="20.109375" style="10" customWidth="1"/>
    <col min="11781" max="11781" width="16.109375" style="10" customWidth="1"/>
    <col min="11782" max="11782" width="18" style="10" customWidth="1"/>
    <col min="11783" max="11783" width="16.5546875" style="10" customWidth="1"/>
    <col min="11784" max="11784" width="14.33203125" style="10" customWidth="1"/>
    <col min="11785" max="11785" width="22.44140625" style="10" customWidth="1"/>
    <col min="11786" max="11786" width="22.5546875" style="10" customWidth="1"/>
    <col min="11787" max="11789" width="9.33203125" style="10" bestFit="1" customWidth="1"/>
    <col min="11790" max="11790" width="10.6640625" style="10" bestFit="1" customWidth="1"/>
    <col min="11791" max="12032" width="9.109375" style="10"/>
    <col min="12033" max="12033" width="52.5546875" style="10" customWidth="1"/>
    <col min="12034" max="12034" width="60" style="10" bestFit="1" customWidth="1"/>
    <col min="12035" max="12035" width="24.88671875" style="10" bestFit="1" customWidth="1"/>
    <col min="12036" max="12036" width="20.109375" style="10" customWidth="1"/>
    <col min="12037" max="12037" width="16.109375" style="10" customWidth="1"/>
    <col min="12038" max="12038" width="18" style="10" customWidth="1"/>
    <col min="12039" max="12039" width="16.5546875" style="10" customWidth="1"/>
    <col min="12040" max="12040" width="14.33203125" style="10" customWidth="1"/>
    <col min="12041" max="12041" width="22.44140625" style="10" customWidth="1"/>
    <col min="12042" max="12042" width="22.5546875" style="10" customWidth="1"/>
    <col min="12043" max="12045" width="9.33203125" style="10" bestFit="1" customWidth="1"/>
    <col min="12046" max="12046" width="10.6640625" style="10" bestFit="1" customWidth="1"/>
    <col min="12047" max="12288" width="9.109375" style="10"/>
    <col min="12289" max="12289" width="52.5546875" style="10" customWidth="1"/>
    <col min="12290" max="12290" width="60" style="10" bestFit="1" customWidth="1"/>
    <col min="12291" max="12291" width="24.88671875" style="10" bestFit="1" customWidth="1"/>
    <col min="12292" max="12292" width="20.109375" style="10" customWidth="1"/>
    <col min="12293" max="12293" width="16.109375" style="10" customWidth="1"/>
    <col min="12294" max="12294" width="18" style="10" customWidth="1"/>
    <col min="12295" max="12295" width="16.5546875" style="10" customWidth="1"/>
    <col min="12296" max="12296" width="14.33203125" style="10" customWidth="1"/>
    <col min="12297" max="12297" width="22.44140625" style="10" customWidth="1"/>
    <col min="12298" max="12298" width="22.5546875" style="10" customWidth="1"/>
    <col min="12299" max="12301" width="9.33203125" style="10" bestFit="1" customWidth="1"/>
    <col min="12302" max="12302" width="10.6640625" style="10" bestFit="1" customWidth="1"/>
    <col min="12303" max="12544" width="9.109375" style="10"/>
    <col min="12545" max="12545" width="52.5546875" style="10" customWidth="1"/>
    <col min="12546" max="12546" width="60" style="10" bestFit="1" customWidth="1"/>
    <col min="12547" max="12547" width="24.88671875" style="10" bestFit="1" customWidth="1"/>
    <col min="12548" max="12548" width="20.109375" style="10" customWidth="1"/>
    <col min="12549" max="12549" width="16.109375" style="10" customWidth="1"/>
    <col min="12550" max="12550" width="18" style="10" customWidth="1"/>
    <col min="12551" max="12551" width="16.5546875" style="10" customWidth="1"/>
    <col min="12552" max="12552" width="14.33203125" style="10" customWidth="1"/>
    <col min="12553" max="12553" width="22.44140625" style="10" customWidth="1"/>
    <col min="12554" max="12554" width="22.5546875" style="10" customWidth="1"/>
    <col min="12555" max="12557" width="9.33203125" style="10" bestFit="1" customWidth="1"/>
    <col min="12558" max="12558" width="10.6640625" style="10" bestFit="1" customWidth="1"/>
    <col min="12559" max="12800" width="9.109375" style="10"/>
    <col min="12801" max="12801" width="52.5546875" style="10" customWidth="1"/>
    <col min="12802" max="12802" width="60" style="10" bestFit="1" customWidth="1"/>
    <col min="12803" max="12803" width="24.88671875" style="10" bestFit="1" customWidth="1"/>
    <col min="12804" max="12804" width="20.109375" style="10" customWidth="1"/>
    <col min="12805" max="12805" width="16.109375" style="10" customWidth="1"/>
    <col min="12806" max="12806" width="18" style="10" customWidth="1"/>
    <col min="12807" max="12807" width="16.5546875" style="10" customWidth="1"/>
    <col min="12808" max="12808" width="14.33203125" style="10" customWidth="1"/>
    <col min="12809" max="12809" width="22.44140625" style="10" customWidth="1"/>
    <col min="12810" max="12810" width="22.5546875" style="10" customWidth="1"/>
    <col min="12811" max="12813" width="9.33203125" style="10" bestFit="1" customWidth="1"/>
    <col min="12814" max="12814" width="10.6640625" style="10" bestFit="1" customWidth="1"/>
    <col min="12815" max="13056" width="9.109375" style="10"/>
    <col min="13057" max="13057" width="52.5546875" style="10" customWidth="1"/>
    <col min="13058" max="13058" width="60" style="10" bestFit="1" customWidth="1"/>
    <col min="13059" max="13059" width="24.88671875" style="10" bestFit="1" customWidth="1"/>
    <col min="13060" max="13060" width="20.109375" style="10" customWidth="1"/>
    <col min="13061" max="13061" width="16.109375" style="10" customWidth="1"/>
    <col min="13062" max="13062" width="18" style="10" customWidth="1"/>
    <col min="13063" max="13063" width="16.5546875" style="10" customWidth="1"/>
    <col min="13064" max="13064" width="14.33203125" style="10" customWidth="1"/>
    <col min="13065" max="13065" width="22.44140625" style="10" customWidth="1"/>
    <col min="13066" max="13066" width="22.5546875" style="10" customWidth="1"/>
    <col min="13067" max="13069" width="9.33203125" style="10" bestFit="1" customWidth="1"/>
    <col min="13070" max="13070" width="10.6640625" style="10" bestFit="1" customWidth="1"/>
    <col min="13071" max="13312" width="9.109375" style="10"/>
    <col min="13313" max="13313" width="52.5546875" style="10" customWidth="1"/>
    <col min="13314" max="13314" width="60" style="10" bestFit="1" customWidth="1"/>
    <col min="13315" max="13315" width="24.88671875" style="10" bestFit="1" customWidth="1"/>
    <col min="13316" max="13316" width="20.109375" style="10" customWidth="1"/>
    <col min="13317" max="13317" width="16.109375" style="10" customWidth="1"/>
    <col min="13318" max="13318" width="18" style="10" customWidth="1"/>
    <col min="13319" max="13319" width="16.5546875" style="10" customWidth="1"/>
    <col min="13320" max="13320" width="14.33203125" style="10" customWidth="1"/>
    <col min="13321" max="13321" width="22.44140625" style="10" customWidth="1"/>
    <col min="13322" max="13322" width="22.5546875" style="10" customWidth="1"/>
    <col min="13323" max="13325" width="9.33203125" style="10" bestFit="1" customWidth="1"/>
    <col min="13326" max="13326" width="10.6640625" style="10" bestFit="1" customWidth="1"/>
    <col min="13327" max="13568" width="9.109375" style="10"/>
    <col min="13569" max="13569" width="52.5546875" style="10" customWidth="1"/>
    <col min="13570" max="13570" width="60" style="10" bestFit="1" customWidth="1"/>
    <col min="13571" max="13571" width="24.88671875" style="10" bestFit="1" customWidth="1"/>
    <col min="13572" max="13572" width="20.109375" style="10" customWidth="1"/>
    <col min="13573" max="13573" width="16.109375" style="10" customWidth="1"/>
    <col min="13574" max="13574" width="18" style="10" customWidth="1"/>
    <col min="13575" max="13575" width="16.5546875" style="10" customWidth="1"/>
    <col min="13576" max="13576" width="14.33203125" style="10" customWidth="1"/>
    <col min="13577" max="13577" width="22.44140625" style="10" customWidth="1"/>
    <col min="13578" max="13578" width="22.5546875" style="10" customWidth="1"/>
    <col min="13579" max="13581" width="9.33203125" style="10" bestFit="1" customWidth="1"/>
    <col min="13582" max="13582" width="10.6640625" style="10" bestFit="1" customWidth="1"/>
    <col min="13583" max="13824" width="9.109375" style="10"/>
    <col min="13825" max="13825" width="52.5546875" style="10" customWidth="1"/>
    <col min="13826" max="13826" width="60" style="10" bestFit="1" customWidth="1"/>
    <col min="13827" max="13827" width="24.88671875" style="10" bestFit="1" customWidth="1"/>
    <col min="13828" max="13828" width="20.109375" style="10" customWidth="1"/>
    <col min="13829" max="13829" width="16.109375" style="10" customWidth="1"/>
    <col min="13830" max="13830" width="18" style="10" customWidth="1"/>
    <col min="13831" max="13831" width="16.5546875" style="10" customWidth="1"/>
    <col min="13832" max="13832" width="14.33203125" style="10" customWidth="1"/>
    <col min="13833" max="13833" width="22.44140625" style="10" customWidth="1"/>
    <col min="13834" max="13834" width="22.5546875" style="10" customWidth="1"/>
    <col min="13835" max="13837" width="9.33203125" style="10" bestFit="1" customWidth="1"/>
    <col min="13838" max="13838" width="10.6640625" style="10" bestFit="1" customWidth="1"/>
    <col min="13839" max="14080" width="9.109375" style="10"/>
    <col min="14081" max="14081" width="52.5546875" style="10" customWidth="1"/>
    <col min="14082" max="14082" width="60" style="10" bestFit="1" customWidth="1"/>
    <col min="14083" max="14083" width="24.88671875" style="10" bestFit="1" customWidth="1"/>
    <col min="14084" max="14084" width="20.109375" style="10" customWidth="1"/>
    <col min="14085" max="14085" width="16.109375" style="10" customWidth="1"/>
    <col min="14086" max="14086" width="18" style="10" customWidth="1"/>
    <col min="14087" max="14087" width="16.5546875" style="10" customWidth="1"/>
    <col min="14088" max="14088" width="14.33203125" style="10" customWidth="1"/>
    <col min="14089" max="14089" width="22.44140625" style="10" customWidth="1"/>
    <col min="14090" max="14090" width="22.5546875" style="10" customWidth="1"/>
    <col min="14091" max="14093" width="9.33203125" style="10" bestFit="1" customWidth="1"/>
    <col min="14094" max="14094" width="10.6640625" style="10" bestFit="1" customWidth="1"/>
    <col min="14095" max="14336" width="9.109375" style="10"/>
    <col min="14337" max="14337" width="52.5546875" style="10" customWidth="1"/>
    <col min="14338" max="14338" width="60" style="10" bestFit="1" customWidth="1"/>
    <col min="14339" max="14339" width="24.88671875" style="10" bestFit="1" customWidth="1"/>
    <col min="14340" max="14340" width="20.109375" style="10" customWidth="1"/>
    <col min="14341" max="14341" width="16.109375" style="10" customWidth="1"/>
    <col min="14342" max="14342" width="18" style="10" customWidth="1"/>
    <col min="14343" max="14343" width="16.5546875" style="10" customWidth="1"/>
    <col min="14344" max="14344" width="14.33203125" style="10" customWidth="1"/>
    <col min="14345" max="14345" width="22.44140625" style="10" customWidth="1"/>
    <col min="14346" max="14346" width="22.5546875" style="10" customWidth="1"/>
    <col min="14347" max="14349" width="9.33203125" style="10" bestFit="1" customWidth="1"/>
    <col min="14350" max="14350" width="10.6640625" style="10" bestFit="1" customWidth="1"/>
    <col min="14351" max="14592" width="9.109375" style="10"/>
    <col min="14593" max="14593" width="52.5546875" style="10" customWidth="1"/>
    <col min="14594" max="14594" width="60" style="10" bestFit="1" customWidth="1"/>
    <col min="14595" max="14595" width="24.88671875" style="10" bestFit="1" customWidth="1"/>
    <col min="14596" max="14596" width="20.109375" style="10" customWidth="1"/>
    <col min="14597" max="14597" width="16.109375" style="10" customWidth="1"/>
    <col min="14598" max="14598" width="18" style="10" customWidth="1"/>
    <col min="14599" max="14599" width="16.5546875" style="10" customWidth="1"/>
    <col min="14600" max="14600" width="14.33203125" style="10" customWidth="1"/>
    <col min="14601" max="14601" width="22.44140625" style="10" customWidth="1"/>
    <col min="14602" max="14602" width="22.5546875" style="10" customWidth="1"/>
    <col min="14603" max="14605" width="9.33203125" style="10" bestFit="1" customWidth="1"/>
    <col min="14606" max="14606" width="10.6640625" style="10" bestFit="1" customWidth="1"/>
    <col min="14607" max="14848" width="9.109375" style="10"/>
    <col min="14849" max="14849" width="52.5546875" style="10" customWidth="1"/>
    <col min="14850" max="14850" width="60" style="10" bestFit="1" customWidth="1"/>
    <col min="14851" max="14851" width="24.88671875" style="10" bestFit="1" customWidth="1"/>
    <col min="14852" max="14852" width="20.109375" style="10" customWidth="1"/>
    <col min="14853" max="14853" width="16.109375" style="10" customWidth="1"/>
    <col min="14854" max="14854" width="18" style="10" customWidth="1"/>
    <col min="14855" max="14855" width="16.5546875" style="10" customWidth="1"/>
    <col min="14856" max="14856" width="14.33203125" style="10" customWidth="1"/>
    <col min="14857" max="14857" width="22.44140625" style="10" customWidth="1"/>
    <col min="14858" max="14858" width="22.5546875" style="10" customWidth="1"/>
    <col min="14859" max="14861" width="9.33203125" style="10" bestFit="1" customWidth="1"/>
    <col min="14862" max="14862" width="10.6640625" style="10" bestFit="1" customWidth="1"/>
    <col min="14863" max="15104" width="9.109375" style="10"/>
    <col min="15105" max="15105" width="52.5546875" style="10" customWidth="1"/>
    <col min="15106" max="15106" width="60" style="10" bestFit="1" customWidth="1"/>
    <col min="15107" max="15107" width="24.88671875" style="10" bestFit="1" customWidth="1"/>
    <col min="15108" max="15108" width="20.109375" style="10" customWidth="1"/>
    <col min="15109" max="15109" width="16.109375" style="10" customWidth="1"/>
    <col min="15110" max="15110" width="18" style="10" customWidth="1"/>
    <col min="15111" max="15111" width="16.5546875" style="10" customWidth="1"/>
    <col min="15112" max="15112" width="14.33203125" style="10" customWidth="1"/>
    <col min="15113" max="15113" width="22.44140625" style="10" customWidth="1"/>
    <col min="15114" max="15114" width="22.5546875" style="10" customWidth="1"/>
    <col min="15115" max="15117" width="9.33203125" style="10" bestFit="1" customWidth="1"/>
    <col min="15118" max="15118" width="10.6640625" style="10" bestFit="1" customWidth="1"/>
    <col min="15119" max="15360" width="9.109375" style="10"/>
    <col min="15361" max="15361" width="52.5546875" style="10" customWidth="1"/>
    <col min="15362" max="15362" width="60" style="10" bestFit="1" customWidth="1"/>
    <col min="15363" max="15363" width="24.88671875" style="10" bestFit="1" customWidth="1"/>
    <col min="15364" max="15364" width="20.109375" style="10" customWidth="1"/>
    <col min="15365" max="15365" width="16.109375" style="10" customWidth="1"/>
    <col min="15366" max="15366" width="18" style="10" customWidth="1"/>
    <col min="15367" max="15367" width="16.5546875" style="10" customWidth="1"/>
    <col min="15368" max="15368" width="14.33203125" style="10" customWidth="1"/>
    <col min="15369" max="15369" width="22.44140625" style="10" customWidth="1"/>
    <col min="15370" max="15370" width="22.5546875" style="10" customWidth="1"/>
    <col min="15371" max="15373" width="9.33203125" style="10" bestFit="1" customWidth="1"/>
    <col min="15374" max="15374" width="10.6640625" style="10" bestFit="1" customWidth="1"/>
    <col min="15375" max="15616" width="9.109375" style="10"/>
    <col min="15617" max="15617" width="52.5546875" style="10" customWidth="1"/>
    <col min="15618" max="15618" width="60" style="10" bestFit="1" customWidth="1"/>
    <col min="15619" max="15619" width="24.88671875" style="10" bestFit="1" customWidth="1"/>
    <col min="15620" max="15620" width="20.109375" style="10" customWidth="1"/>
    <col min="15621" max="15621" width="16.109375" style="10" customWidth="1"/>
    <col min="15622" max="15622" width="18" style="10" customWidth="1"/>
    <col min="15623" max="15623" width="16.5546875" style="10" customWidth="1"/>
    <col min="15624" max="15624" width="14.33203125" style="10" customWidth="1"/>
    <col min="15625" max="15625" width="22.44140625" style="10" customWidth="1"/>
    <col min="15626" max="15626" width="22.5546875" style="10" customWidth="1"/>
    <col min="15627" max="15629" width="9.33203125" style="10" bestFit="1" customWidth="1"/>
    <col min="15630" max="15630" width="10.6640625" style="10" bestFit="1" customWidth="1"/>
    <col min="15631" max="15872" width="9.109375" style="10"/>
    <col min="15873" max="15873" width="52.5546875" style="10" customWidth="1"/>
    <col min="15874" max="15874" width="60" style="10" bestFit="1" customWidth="1"/>
    <col min="15875" max="15875" width="24.88671875" style="10" bestFit="1" customWidth="1"/>
    <col min="15876" max="15876" width="20.109375" style="10" customWidth="1"/>
    <col min="15877" max="15877" width="16.109375" style="10" customWidth="1"/>
    <col min="15878" max="15878" width="18" style="10" customWidth="1"/>
    <col min="15879" max="15879" width="16.5546875" style="10" customWidth="1"/>
    <col min="15880" max="15880" width="14.33203125" style="10" customWidth="1"/>
    <col min="15881" max="15881" width="22.44140625" style="10" customWidth="1"/>
    <col min="15882" max="15882" width="22.5546875" style="10" customWidth="1"/>
    <col min="15883" max="15885" width="9.33203125" style="10" bestFit="1" customWidth="1"/>
    <col min="15886" max="15886" width="10.6640625" style="10" bestFit="1" customWidth="1"/>
    <col min="15887" max="16128" width="9.109375" style="10"/>
    <col min="16129" max="16129" width="52.5546875" style="10" customWidth="1"/>
    <col min="16130" max="16130" width="60" style="10" bestFit="1" customWidth="1"/>
    <col min="16131" max="16131" width="24.88671875" style="10" bestFit="1" customWidth="1"/>
    <col min="16132" max="16132" width="20.109375" style="10" customWidth="1"/>
    <col min="16133" max="16133" width="16.109375" style="10" customWidth="1"/>
    <col min="16134" max="16134" width="18" style="10" customWidth="1"/>
    <col min="16135" max="16135" width="16.5546875" style="10" customWidth="1"/>
    <col min="16136" max="16136" width="14.33203125" style="10" customWidth="1"/>
    <col min="16137" max="16137" width="22.44140625" style="10" customWidth="1"/>
    <col min="16138" max="16138" width="22.5546875" style="10" customWidth="1"/>
    <col min="16139" max="16141" width="9.33203125" style="10" bestFit="1" customWidth="1"/>
    <col min="16142" max="16142" width="10.6640625" style="10" bestFit="1" customWidth="1"/>
    <col min="16143" max="16384" width="9.109375" style="10"/>
  </cols>
  <sheetData>
    <row r="1" spans="1:15" x14ac:dyDescent="0.25">
      <c r="A1" s="189"/>
      <c r="B1" s="190"/>
      <c r="C1" s="191"/>
      <c r="D1" s="192"/>
      <c r="E1" s="192" t="s">
        <v>1035</v>
      </c>
    </row>
    <row r="2" spans="1:15" x14ac:dyDescent="0.25">
      <c r="A2" s="189"/>
      <c r="B2" s="190"/>
      <c r="C2" s="191"/>
      <c r="D2" s="192"/>
      <c r="E2" s="192"/>
    </row>
    <row r="3" spans="1:15" x14ac:dyDescent="0.25">
      <c r="A3" s="392" t="s">
        <v>876</v>
      </c>
      <c r="B3" s="392"/>
      <c r="C3" s="392"/>
      <c r="D3" s="392"/>
      <c r="E3" s="392"/>
    </row>
    <row r="4" spans="1:15" x14ac:dyDescent="0.25">
      <c r="A4" s="189"/>
      <c r="B4" s="190"/>
      <c r="C4" s="191"/>
      <c r="D4" s="192"/>
      <c r="E4" s="192"/>
    </row>
    <row r="5" spans="1:15" x14ac:dyDescent="0.25">
      <c r="A5" s="189"/>
      <c r="B5" s="190"/>
      <c r="C5" s="191"/>
      <c r="D5" s="192"/>
      <c r="E5" s="192" t="s">
        <v>327</v>
      </c>
    </row>
    <row r="6" spans="1:15" ht="13.8" thickBot="1" x14ac:dyDescent="0.3">
      <c r="A6" s="190"/>
      <c r="B6" s="193"/>
      <c r="C6" s="194"/>
      <c r="D6" s="195"/>
      <c r="E6" s="196">
        <v>1</v>
      </c>
    </row>
    <row r="7" spans="1:15" ht="12.75" customHeight="1" x14ac:dyDescent="0.25">
      <c r="A7" s="401" t="s">
        <v>328</v>
      </c>
      <c r="B7" s="403" t="s">
        <v>329</v>
      </c>
      <c r="C7" s="405" t="s">
        <v>330</v>
      </c>
      <c r="D7" s="407" t="s">
        <v>871</v>
      </c>
      <c r="E7" s="409" t="s">
        <v>877</v>
      </c>
      <c r="F7" s="230" t="s">
        <v>659</v>
      </c>
      <c r="G7" s="231">
        <v>0.03</v>
      </c>
    </row>
    <row r="8" spans="1:15" ht="13.8" thickBot="1" x14ac:dyDescent="0.3">
      <c r="A8" s="402"/>
      <c r="B8" s="404"/>
      <c r="C8" s="406"/>
      <c r="D8" s="408"/>
      <c r="E8" s="410"/>
      <c r="F8" s="230"/>
    </row>
    <row r="9" spans="1:15" s="238" customFormat="1" x14ac:dyDescent="0.25">
      <c r="A9" s="232" t="s">
        <v>660</v>
      </c>
      <c r="B9" s="233" t="s">
        <v>661</v>
      </c>
      <c r="C9" s="234"/>
      <c r="D9" s="235">
        <f>134874+600075+128016+1035050+500000+355600+14986000</f>
        <v>17739615</v>
      </c>
      <c r="E9" s="236">
        <v>3639185</v>
      </c>
      <c r="F9" s="237"/>
    </row>
    <row r="10" spans="1:15" s="244" customFormat="1" x14ac:dyDescent="0.25">
      <c r="A10" s="239" t="s">
        <v>407</v>
      </c>
      <c r="B10" s="240" t="s">
        <v>408</v>
      </c>
      <c r="C10" s="241" t="s">
        <v>333</v>
      </c>
      <c r="D10" s="242">
        <f>E10</f>
        <v>2364589</v>
      </c>
      <c r="E10" s="243">
        <v>2364589</v>
      </c>
      <c r="G10" s="245"/>
      <c r="H10" s="245"/>
      <c r="I10" s="245"/>
      <c r="J10" s="245"/>
      <c r="K10" s="245"/>
      <c r="L10" s="245"/>
      <c r="M10" s="245"/>
      <c r="N10" s="245"/>
      <c r="O10" s="245"/>
    </row>
    <row r="11" spans="1:15" s="244" customFormat="1" x14ac:dyDescent="0.25">
      <c r="A11" s="239" t="s">
        <v>878</v>
      </c>
      <c r="B11" s="246" t="s">
        <v>663</v>
      </c>
      <c r="C11" s="241" t="s">
        <v>879</v>
      </c>
      <c r="D11" s="242">
        <f>E11</f>
        <v>1767764</v>
      </c>
      <c r="E11" s="243">
        <v>1767764</v>
      </c>
      <c r="G11" s="245"/>
      <c r="H11" s="245"/>
      <c r="I11" s="245"/>
      <c r="J11" s="245"/>
      <c r="K11" s="245"/>
      <c r="L11" s="245"/>
      <c r="M11" s="245"/>
      <c r="N11" s="245"/>
      <c r="O11" s="245"/>
    </row>
    <row r="12" spans="1:15" s="244" customFormat="1" x14ac:dyDescent="0.25">
      <c r="A12" s="247" t="s">
        <v>880</v>
      </c>
      <c r="B12" s="246" t="s">
        <v>881</v>
      </c>
      <c r="C12" s="241" t="s">
        <v>333</v>
      </c>
      <c r="D12" s="242">
        <f>E12</f>
        <v>195360</v>
      </c>
      <c r="E12" s="243">
        <v>195360</v>
      </c>
      <c r="G12" s="245"/>
      <c r="H12" s="245"/>
      <c r="I12" s="245"/>
      <c r="J12" s="245"/>
      <c r="K12" s="245"/>
      <c r="L12" s="245"/>
      <c r="M12" s="245"/>
      <c r="N12" s="245"/>
      <c r="O12" s="245"/>
    </row>
    <row r="13" spans="1:15" s="244" customFormat="1" x14ac:dyDescent="0.25">
      <c r="A13" s="248" t="s">
        <v>409</v>
      </c>
      <c r="B13" s="249" t="s">
        <v>410</v>
      </c>
      <c r="C13" s="250" t="s">
        <v>333</v>
      </c>
      <c r="D13" s="251">
        <f>E13*1.051</f>
        <v>2999466.767</v>
      </c>
      <c r="E13" s="252">
        <v>2853917</v>
      </c>
      <c r="G13" s="245"/>
      <c r="H13" s="245"/>
      <c r="I13" s="245"/>
      <c r="J13" s="245"/>
      <c r="K13" s="245"/>
      <c r="L13" s="245"/>
      <c r="M13" s="245"/>
      <c r="N13" s="245"/>
      <c r="O13" s="245"/>
    </row>
    <row r="14" spans="1:15" s="244" customFormat="1" ht="39.6" x14ac:dyDescent="0.25">
      <c r="A14" s="248" t="s">
        <v>882</v>
      </c>
      <c r="B14" s="253" t="s">
        <v>883</v>
      </c>
      <c r="C14" s="250">
        <v>44620</v>
      </c>
      <c r="D14" s="251">
        <f>9906000-E14</f>
        <v>4953000</v>
      </c>
      <c r="E14" s="252">
        <v>4953000</v>
      </c>
      <c r="G14" s="245"/>
      <c r="H14" s="245"/>
      <c r="I14" s="245"/>
      <c r="J14" s="245"/>
      <c r="K14" s="245"/>
      <c r="L14" s="245"/>
      <c r="M14" s="245"/>
      <c r="N14" s="245"/>
      <c r="O14" s="245"/>
    </row>
    <row r="15" spans="1:15" s="244" customFormat="1" x14ac:dyDescent="0.25">
      <c r="A15" s="248" t="s">
        <v>411</v>
      </c>
      <c r="B15" s="249" t="s">
        <v>412</v>
      </c>
      <c r="C15" s="250" t="s">
        <v>884</v>
      </c>
      <c r="D15" s="251">
        <f>40000*12</f>
        <v>480000</v>
      </c>
      <c r="E15" s="252">
        <v>520000</v>
      </c>
      <c r="G15" s="245"/>
      <c r="H15" s="245"/>
      <c r="I15" s="245"/>
      <c r="J15" s="245"/>
      <c r="K15" s="245"/>
      <c r="L15" s="245"/>
      <c r="M15" s="245"/>
      <c r="N15" s="245"/>
      <c r="O15" s="245"/>
    </row>
    <row r="16" spans="1:15" s="244" customFormat="1" ht="26.4" x14ac:dyDescent="0.25">
      <c r="A16" s="248" t="s">
        <v>885</v>
      </c>
      <c r="B16" s="253" t="s">
        <v>886</v>
      </c>
      <c r="C16" s="250">
        <v>44681</v>
      </c>
      <c r="D16" s="251">
        <v>1000000</v>
      </c>
      <c r="E16" s="252">
        <v>0</v>
      </c>
      <c r="G16" s="245"/>
      <c r="H16" s="245"/>
      <c r="I16" s="245"/>
      <c r="J16" s="245"/>
      <c r="K16" s="245"/>
      <c r="L16" s="245"/>
      <c r="M16" s="245"/>
      <c r="N16" s="245"/>
      <c r="O16" s="245"/>
    </row>
    <row r="17" spans="1:15" s="244" customFormat="1" ht="26.4" x14ac:dyDescent="0.25">
      <c r="A17" s="247" t="s">
        <v>887</v>
      </c>
      <c r="B17" s="144" t="s">
        <v>888</v>
      </c>
      <c r="C17" s="250">
        <v>44661</v>
      </c>
      <c r="D17" s="251">
        <f>143212870-E17</f>
        <v>114570296</v>
      </c>
      <c r="E17" s="252">
        <v>28642574</v>
      </c>
      <c r="G17" s="245"/>
      <c r="H17" s="245"/>
      <c r="I17" s="245"/>
      <c r="J17" s="245"/>
      <c r="K17" s="245"/>
      <c r="L17" s="245"/>
      <c r="M17" s="245"/>
      <c r="N17" s="245"/>
      <c r="O17" s="245"/>
    </row>
    <row r="18" spans="1:15" s="244" customFormat="1" ht="26.4" x14ac:dyDescent="0.25">
      <c r="A18" s="247" t="s">
        <v>887</v>
      </c>
      <c r="B18" s="253" t="s">
        <v>889</v>
      </c>
      <c r="C18" s="250">
        <v>44661</v>
      </c>
      <c r="D18" s="251">
        <f>51937048-E18</f>
        <v>41200382</v>
      </c>
      <c r="E18" s="252">
        <v>10736666</v>
      </c>
      <c r="G18" s="245"/>
      <c r="H18" s="245"/>
      <c r="I18" s="245"/>
      <c r="J18" s="245"/>
      <c r="K18" s="245"/>
      <c r="L18" s="245"/>
      <c r="M18" s="245"/>
      <c r="N18" s="245"/>
      <c r="O18" s="245"/>
    </row>
    <row r="19" spans="1:15" s="244" customFormat="1" ht="26.4" x14ac:dyDescent="0.25">
      <c r="A19" s="247" t="s">
        <v>887</v>
      </c>
      <c r="B19" s="144" t="s">
        <v>890</v>
      </c>
      <c r="C19" s="250">
        <v>44661</v>
      </c>
      <c r="D19" s="251">
        <v>11165477</v>
      </c>
      <c r="E19" s="252">
        <v>0</v>
      </c>
      <c r="G19" s="245"/>
      <c r="H19" s="245"/>
      <c r="I19" s="245"/>
      <c r="J19" s="245"/>
      <c r="K19" s="245"/>
      <c r="L19" s="245"/>
      <c r="M19" s="245"/>
      <c r="N19" s="245"/>
      <c r="O19" s="245"/>
    </row>
    <row r="20" spans="1:15" s="244" customFormat="1" ht="26.4" x14ac:dyDescent="0.25">
      <c r="A20" s="247" t="s">
        <v>887</v>
      </c>
      <c r="B20" s="144" t="s">
        <v>891</v>
      </c>
      <c r="C20" s="250">
        <v>44667</v>
      </c>
      <c r="D20" s="251">
        <f>336004577-E20</f>
        <v>208322837</v>
      </c>
      <c r="E20" s="252">
        <v>127681740</v>
      </c>
      <c r="G20" s="245"/>
      <c r="H20" s="245"/>
      <c r="I20" s="245"/>
      <c r="J20" s="245"/>
      <c r="K20" s="245"/>
      <c r="L20" s="245"/>
      <c r="M20" s="245"/>
      <c r="N20" s="245"/>
      <c r="O20" s="245"/>
    </row>
    <row r="21" spans="1:15" s="244" customFormat="1" ht="26.4" x14ac:dyDescent="0.25">
      <c r="A21" s="247" t="s">
        <v>887</v>
      </c>
      <c r="B21" s="144" t="s">
        <v>892</v>
      </c>
      <c r="C21" s="250" t="s">
        <v>893</v>
      </c>
      <c r="D21" s="251">
        <v>253988999</v>
      </c>
      <c r="E21" s="252">
        <v>0</v>
      </c>
      <c r="G21" s="245"/>
      <c r="H21" s="245"/>
      <c r="I21" s="245"/>
      <c r="J21" s="245"/>
      <c r="K21" s="245"/>
      <c r="L21" s="245"/>
      <c r="M21" s="245"/>
      <c r="N21" s="245"/>
      <c r="O21" s="245"/>
    </row>
    <row r="22" spans="1:15" s="244" customFormat="1" ht="26.4" x14ac:dyDescent="0.25">
      <c r="A22" s="247" t="s">
        <v>887</v>
      </c>
      <c r="B22" s="144" t="s">
        <v>894</v>
      </c>
      <c r="C22" s="250" t="s">
        <v>893</v>
      </c>
      <c r="D22" s="251">
        <v>125566254</v>
      </c>
      <c r="E22" s="252">
        <v>0</v>
      </c>
      <c r="G22" s="245"/>
      <c r="H22" s="245"/>
      <c r="I22" s="245"/>
      <c r="J22" s="245"/>
      <c r="K22" s="245"/>
      <c r="L22" s="245"/>
      <c r="M22" s="245"/>
      <c r="N22" s="245"/>
      <c r="O22" s="245"/>
    </row>
    <row r="23" spans="1:15" s="244" customFormat="1" ht="39.6" x14ac:dyDescent="0.25">
      <c r="A23" s="248" t="s">
        <v>413</v>
      </c>
      <c r="B23" s="253" t="s">
        <v>895</v>
      </c>
      <c r="C23" s="250" t="s">
        <v>333</v>
      </c>
      <c r="D23" s="251">
        <f t="shared" ref="D23:D25" si="0">E23</f>
        <v>1271131</v>
      </c>
      <c r="E23" s="252">
        <v>1271131</v>
      </c>
      <c r="G23" s="245"/>
      <c r="H23" s="245"/>
      <c r="I23" s="245"/>
      <c r="J23" s="245"/>
      <c r="K23" s="245"/>
      <c r="L23" s="245"/>
      <c r="M23" s="245"/>
      <c r="N23" s="245"/>
      <c r="O23" s="245"/>
    </row>
    <row r="24" spans="1:15" s="244" customFormat="1" x14ac:dyDescent="0.25">
      <c r="A24" s="248" t="s">
        <v>413</v>
      </c>
      <c r="B24" s="249" t="s">
        <v>414</v>
      </c>
      <c r="C24" s="250" t="s">
        <v>333</v>
      </c>
      <c r="D24" s="251">
        <f t="shared" si="0"/>
        <v>3284412</v>
      </c>
      <c r="E24" s="252">
        <v>3284412</v>
      </c>
      <c r="G24" s="245"/>
      <c r="H24" s="245"/>
      <c r="I24" s="245"/>
      <c r="J24" s="245"/>
      <c r="K24" s="245"/>
      <c r="L24" s="245"/>
      <c r="M24" s="245"/>
      <c r="N24" s="245"/>
      <c r="O24" s="245"/>
    </row>
    <row r="25" spans="1:15" s="244" customFormat="1" x14ac:dyDescent="0.25">
      <c r="A25" s="248" t="s">
        <v>413</v>
      </c>
      <c r="B25" s="249" t="s">
        <v>415</v>
      </c>
      <c r="C25" s="254" t="s">
        <v>333</v>
      </c>
      <c r="D25" s="143">
        <f t="shared" si="0"/>
        <v>3024323</v>
      </c>
      <c r="E25" s="252">
        <v>3024323</v>
      </c>
      <c r="G25" s="245"/>
      <c r="H25" s="245"/>
      <c r="I25" s="245"/>
      <c r="J25" s="245"/>
      <c r="K25" s="245"/>
      <c r="L25" s="245"/>
      <c r="M25" s="245"/>
      <c r="N25" s="245"/>
      <c r="O25" s="245"/>
    </row>
    <row r="26" spans="1:15" s="244" customFormat="1" x14ac:dyDescent="0.25">
      <c r="A26" s="248" t="s">
        <v>413</v>
      </c>
      <c r="B26" s="249" t="s">
        <v>896</v>
      </c>
      <c r="C26" s="255"/>
      <c r="D26" s="143">
        <f>E26</f>
        <v>229819</v>
      </c>
      <c r="E26" s="252">
        <v>229819</v>
      </c>
      <c r="G26" s="245"/>
      <c r="H26" s="245"/>
      <c r="I26" s="245"/>
      <c r="J26" s="245"/>
      <c r="K26" s="245"/>
      <c r="L26" s="245"/>
      <c r="M26" s="245"/>
      <c r="N26" s="245"/>
      <c r="O26" s="245"/>
    </row>
    <row r="27" spans="1:15" s="238" customFormat="1" x14ac:dyDescent="0.25">
      <c r="A27" s="248" t="s">
        <v>664</v>
      </c>
      <c r="B27" s="249" t="s">
        <v>665</v>
      </c>
      <c r="C27" s="254">
        <v>44328</v>
      </c>
      <c r="D27" s="143">
        <v>1800000</v>
      </c>
      <c r="E27" s="252">
        <v>0</v>
      </c>
      <c r="G27" s="256"/>
      <c r="H27" s="256"/>
      <c r="I27" s="256"/>
      <c r="J27" s="256"/>
      <c r="K27" s="256"/>
      <c r="L27" s="256"/>
      <c r="M27" s="256"/>
      <c r="N27" s="256"/>
      <c r="O27" s="256"/>
    </row>
    <row r="28" spans="1:15" s="244" customFormat="1" x14ac:dyDescent="0.25">
      <c r="A28" s="248" t="s">
        <v>416</v>
      </c>
      <c r="B28" s="257" t="s">
        <v>417</v>
      </c>
      <c r="C28" s="258" t="s">
        <v>333</v>
      </c>
      <c r="D28" s="217">
        <f>E28</f>
        <v>5785</v>
      </c>
      <c r="E28" s="252">
        <v>5785</v>
      </c>
      <c r="G28" s="245"/>
      <c r="H28" s="245"/>
      <c r="I28" s="245"/>
      <c r="J28" s="245"/>
      <c r="K28" s="245"/>
      <c r="L28" s="245"/>
      <c r="M28" s="245"/>
      <c r="N28" s="245"/>
      <c r="O28" s="245"/>
    </row>
    <row r="29" spans="1:15" s="244" customFormat="1" x14ac:dyDescent="0.25">
      <c r="A29" s="248" t="s">
        <v>416</v>
      </c>
      <c r="B29" s="246" t="s">
        <v>418</v>
      </c>
      <c r="C29" s="258" t="s">
        <v>333</v>
      </c>
      <c r="D29" s="217">
        <f>E29</f>
        <v>231280</v>
      </c>
      <c r="E29" s="252">
        <v>231280</v>
      </c>
      <c r="G29" s="245"/>
      <c r="H29" s="245"/>
      <c r="I29" s="245"/>
      <c r="J29" s="245"/>
      <c r="K29" s="245"/>
      <c r="L29" s="245"/>
      <c r="M29" s="245"/>
      <c r="N29" s="245"/>
      <c r="O29" s="245"/>
    </row>
    <row r="30" spans="1:15" s="244" customFormat="1" ht="26.4" x14ac:dyDescent="0.25">
      <c r="A30" s="248" t="s">
        <v>897</v>
      </c>
      <c r="B30" s="144" t="s">
        <v>898</v>
      </c>
      <c r="C30" s="250">
        <v>44742</v>
      </c>
      <c r="D30" s="217">
        <f>10956072*1.27</f>
        <v>13914211.439999999</v>
      </c>
      <c r="E30" s="252"/>
      <c r="G30" s="245"/>
      <c r="H30" s="245"/>
      <c r="I30" s="245"/>
      <c r="J30" s="245"/>
      <c r="K30" s="245"/>
      <c r="L30" s="245"/>
      <c r="M30" s="245"/>
      <c r="N30" s="245"/>
      <c r="O30" s="245"/>
    </row>
    <row r="31" spans="1:15" s="244" customFormat="1" x14ac:dyDescent="0.25">
      <c r="A31" s="248" t="s">
        <v>666</v>
      </c>
      <c r="B31" s="246" t="s">
        <v>667</v>
      </c>
      <c r="C31" s="250">
        <v>44723</v>
      </c>
      <c r="D31" s="217">
        <f>E31/2</f>
        <v>140000</v>
      </c>
      <c r="E31" s="252">
        <v>280000</v>
      </c>
      <c r="G31" s="245"/>
      <c r="H31" s="245"/>
      <c r="I31" s="245"/>
      <c r="J31" s="245"/>
      <c r="K31" s="245"/>
      <c r="L31" s="245"/>
      <c r="M31" s="245"/>
      <c r="N31" s="245"/>
      <c r="O31" s="245"/>
    </row>
    <row r="32" spans="1:15" s="244" customFormat="1" x14ac:dyDescent="0.25">
      <c r="A32" s="248" t="s">
        <v>419</v>
      </c>
      <c r="B32" s="246" t="s">
        <v>420</v>
      </c>
      <c r="C32" s="250">
        <v>44749</v>
      </c>
      <c r="D32" s="217">
        <f>E32/2</f>
        <v>100752.5</v>
      </c>
      <c r="E32" s="252">
        <v>201505</v>
      </c>
      <c r="G32" s="245"/>
      <c r="H32" s="245"/>
      <c r="I32" s="245"/>
      <c r="J32" s="245"/>
      <c r="K32" s="245"/>
      <c r="L32" s="245"/>
      <c r="M32" s="245"/>
      <c r="N32" s="245"/>
      <c r="O32" s="245"/>
    </row>
    <row r="33" spans="1:15" s="259" customFormat="1" x14ac:dyDescent="0.25">
      <c r="A33" s="247" t="s">
        <v>899</v>
      </c>
      <c r="B33" s="202" t="s">
        <v>900</v>
      </c>
      <c r="C33" s="254">
        <v>44593</v>
      </c>
      <c r="D33" s="217">
        <f>12081164-E33</f>
        <v>6040582</v>
      </c>
      <c r="E33" s="252">
        <v>6040582</v>
      </c>
      <c r="G33" s="260"/>
      <c r="H33" s="260"/>
      <c r="I33" s="260"/>
      <c r="J33" s="260"/>
      <c r="K33" s="260"/>
      <c r="L33" s="260"/>
      <c r="M33" s="260"/>
      <c r="N33" s="260"/>
      <c r="O33" s="260"/>
    </row>
    <row r="34" spans="1:15" s="259" customFormat="1" x14ac:dyDescent="0.25">
      <c r="A34" s="247" t="s">
        <v>901</v>
      </c>
      <c r="B34" s="202" t="s">
        <v>902</v>
      </c>
      <c r="C34" s="254">
        <v>44712</v>
      </c>
      <c r="D34" s="217">
        <v>500000</v>
      </c>
      <c r="E34" s="252">
        <v>0</v>
      </c>
      <c r="G34" s="260"/>
      <c r="H34" s="260"/>
      <c r="I34" s="260"/>
      <c r="J34" s="260"/>
      <c r="K34" s="260"/>
      <c r="L34" s="260"/>
      <c r="M34" s="260"/>
      <c r="N34" s="260"/>
      <c r="O34" s="260"/>
    </row>
    <row r="35" spans="1:15" s="259" customFormat="1" x14ac:dyDescent="0.25">
      <c r="A35" s="261" t="s">
        <v>903</v>
      </c>
      <c r="B35" s="262" t="s">
        <v>904</v>
      </c>
      <c r="C35" s="263"/>
      <c r="D35" s="264">
        <v>943650</v>
      </c>
      <c r="E35" s="265">
        <v>421350</v>
      </c>
      <c r="G35" s="260"/>
      <c r="H35" s="260"/>
      <c r="I35" s="260"/>
      <c r="J35" s="260"/>
      <c r="K35" s="260"/>
      <c r="L35" s="260"/>
      <c r="M35" s="260"/>
      <c r="N35" s="260"/>
      <c r="O35" s="260"/>
    </row>
    <row r="36" spans="1:15" s="244" customFormat="1" x14ac:dyDescent="0.25">
      <c r="A36" s="266" t="s">
        <v>421</v>
      </c>
      <c r="B36" s="267" t="s">
        <v>905</v>
      </c>
      <c r="C36" s="258" t="s">
        <v>333</v>
      </c>
      <c r="D36" s="251">
        <f>E36</f>
        <v>154310</v>
      </c>
      <c r="E36" s="252">
        <v>154310</v>
      </c>
      <c r="G36" s="245"/>
      <c r="H36" s="245"/>
      <c r="I36" s="245"/>
      <c r="J36" s="245"/>
      <c r="K36" s="245"/>
      <c r="L36" s="245"/>
      <c r="M36" s="245"/>
      <c r="N36" s="245"/>
      <c r="O36" s="245"/>
    </row>
    <row r="37" spans="1:15" s="238" customFormat="1" x14ac:dyDescent="0.25">
      <c r="A37" s="266" t="s">
        <v>421</v>
      </c>
      <c r="B37" s="267" t="s">
        <v>668</v>
      </c>
      <c r="C37" s="258" t="s">
        <v>333</v>
      </c>
      <c r="D37" s="251">
        <f>E37</f>
        <v>82780</v>
      </c>
      <c r="E37" s="252">
        <v>82780</v>
      </c>
      <c r="G37" s="256"/>
      <c r="H37" s="256"/>
      <c r="I37" s="256"/>
      <c r="J37" s="256"/>
      <c r="K37" s="256"/>
      <c r="L37" s="256"/>
      <c r="M37" s="256"/>
      <c r="N37" s="256"/>
      <c r="O37" s="256"/>
    </row>
    <row r="38" spans="1:15" s="238" customFormat="1" x14ac:dyDescent="0.25">
      <c r="A38" s="266" t="s">
        <v>421</v>
      </c>
      <c r="B38" s="267" t="s">
        <v>906</v>
      </c>
      <c r="C38" s="258" t="s">
        <v>333</v>
      </c>
      <c r="D38" s="251">
        <f>E38</f>
        <v>1034900</v>
      </c>
      <c r="E38" s="252">
        <v>1034900</v>
      </c>
      <c r="G38" s="256"/>
      <c r="H38" s="256"/>
      <c r="I38" s="256"/>
      <c r="J38" s="256"/>
      <c r="K38" s="256"/>
      <c r="L38" s="256"/>
      <c r="M38" s="256"/>
      <c r="N38" s="256"/>
      <c r="O38" s="256"/>
    </row>
    <row r="39" spans="1:15" s="244" customFormat="1" x14ac:dyDescent="0.25">
      <c r="A39" s="239" t="s">
        <v>662</v>
      </c>
      <c r="B39" s="240" t="s">
        <v>528</v>
      </c>
      <c r="C39" s="241" t="s">
        <v>333</v>
      </c>
      <c r="D39" s="242">
        <f>E39</f>
        <v>49378</v>
      </c>
      <c r="E39" s="243">
        <v>49378</v>
      </c>
    </row>
    <row r="40" spans="1:15" s="244" customFormat="1" x14ac:dyDescent="0.25">
      <c r="A40" s="266" t="s">
        <v>422</v>
      </c>
      <c r="B40" s="267" t="s">
        <v>907</v>
      </c>
      <c r="C40" s="250" t="s">
        <v>333</v>
      </c>
      <c r="D40" s="268">
        <f t="shared" ref="D40:D46" si="1">E40</f>
        <v>127767</v>
      </c>
      <c r="E40" s="269">
        <v>127767</v>
      </c>
      <c r="G40" s="245"/>
      <c r="H40" s="245"/>
      <c r="I40" s="245"/>
      <c r="J40" s="245"/>
      <c r="K40" s="245"/>
      <c r="L40" s="245"/>
      <c r="M40" s="245"/>
      <c r="N40" s="245"/>
      <c r="O40" s="245"/>
    </row>
    <row r="41" spans="1:15" s="244" customFormat="1" x14ac:dyDescent="0.25">
      <c r="A41" s="266" t="s">
        <v>422</v>
      </c>
      <c r="B41" s="267" t="s">
        <v>530</v>
      </c>
      <c r="C41" s="250" t="s">
        <v>333</v>
      </c>
      <c r="D41" s="268">
        <f t="shared" si="1"/>
        <v>114282</v>
      </c>
      <c r="E41" s="269">
        <v>114282</v>
      </c>
      <c r="G41" s="245"/>
      <c r="H41" s="245"/>
      <c r="I41" s="245"/>
      <c r="J41" s="245"/>
      <c r="K41" s="245"/>
      <c r="L41" s="245"/>
      <c r="M41" s="245"/>
      <c r="N41" s="245"/>
      <c r="O41" s="245"/>
    </row>
    <row r="42" spans="1:15" s="238" customFormat="1" x14ac:dyDescent="0.25">
      <c r="A42" s="266" t="s">
        <v>422</v>
      </c>
      <c r="B42" s="267" t="s">
        <v>531</v>
      </c>
      <c r="C42" s="250" t="s">
        <v>333</v>
      </c>
      <c r="D42" s="268">
        <f>E42*1.051</f>
        <v>15601.044</v>
      </c>
      <c r="E42" s="269">
        <v>14844</v>
      </c>
      <c r="G42" s="256"/>
      <c r="H42" s="256"/>
      <c r="I42" s="256"/>
      <c r="J42" s="256"/>
      <c r="K42" s="256"/>
      <c r="L42" s="256"/>
      <c r="M42" s="256"/>
      <c r="N42" s="256"/>
      <c r="O42" s="256"/>
    </row>
    <row r="43" spans="1:15" s="238" customFormat="1" x14ac:dyDescent="0.25">
      <c r="A43" s="266" t="s">
        <v>422</v>
      </c>
      <c r="B43" s="246" t="s">
        <v>669</v>
      </c>
      <c r="C43" s="250" t="s">
        <v>333</v>
      </c>
      <c r="D43" s="268">
        <f>E43</f>
        <v>22885</v>
      </c>
      <c r="E43" s="269">
        <v>22885</v>
      </c>
      <c r="G43" s="256"/>
      <c r="H43" s="256"/>
      <c r="I43" s="256"/>
      <c r="J43" s="256"/>
      <c r="K43" s="256"/>
      <c r="L43" s="256"/>
      <c r="M43" s="256"/>
      <c r="N43" s="256"/>
      <c r="O43" s="256"/>
    </row>
    <row r="44" spans="1:15" s="244" customFormat="1" x14ac:dyDescent="0.25">
      <c r="A44" s="266" t="s">
        <v>670</v>
      </c>
      <c r="B44" s="267" t="s">
        <v>532</v>
      </c>
      <c r="C44" s="250" t="s">
        <v>333</v>
      </c>
      <c r="D44" s="268">
        <f t="shared" si="1"/>
        <v>0</v>
      </c>
      <c r="E44" s="269">
        <v>0</v>
      </c>
      <c r="G44" s="245"/>
      <c r="H44" s="245"/>
      <c r="I44" s="245"/>
      <c r="J44" s="245"/>
      <c r="K44" s="245"/>
      <c r="L44" s="245"/>
      <c r="M44" s="245"/>
      <c r="N44" s="245"/>
      <c r="O44" s="245"/>
    </row>
    <row r="45" spans="1:15" s="244" customFormat="1" x14ac:dyDescent="0.25">
      <c r="A45" s="266" t="s">
        <v>423</v>
      </c>
      <c r="B45" s="267" t="s">
        <v>424</v>
      </c>
      <c r="C45" s="250" t="s">
        <v>333</v>
      </c>
      <c r="D45" s="268">
        <f>E45</f>
        <v>1050000</v>
      </c>
      <c r="E45" s="269">
        <f>500000+550000</f>
        <v>1050000</v>
      </c>
      <c r="G45" s="245"/>
      <c r="H45" s="245"/>
      <c r="I45" s="245"/>
      <c r="J45" s="245"/>
      <c r="K45" s="245"/>
      <c r="L45" s="245"/>
      <c r="M45" s="245"/>
      <c r="N45" s="245"/>
      <c r="O45" s="245"/>
    </row>
    <row r="46" spans="1:15" s="244" customFormat="1" ht="13.8" x14ac:dyDescent="0.3">
      <c r="A46" s="266" t="s">
        <v>425</v>
      </c>
      <c r="B46" s="267" t="s">
        <v>417</v>
      </c>
      <c r="C46" s="250" t="s">
        <v>333</v>
      </c>
      <c r="D46" s="268">
        <f t="shared" si="1"/>
        <v>10410</v>
      </c>
      <c r="E46" s="269">
        <v>10410</v>
      </c>
      <c r="G46" s="245"/>
      <c r="H46" s="245"/>
      <c r="I46" s="270"/>
      <c r="J46" s="245"/>
      <c r="K46" s="245"/>
      <c r="L46" s="245"/>
      <c r="M46" s="245"/>
      <c r="N46" s="245"/>
      <c r="O46" s="245"/>
    </row>
    <row r="47" spans="1:15" s="244" customFormat="1" ht="13.8" x14ac:dyDescent="0.3">
      <c r="A47" s="266" t="s">
        <v>533</v>
      </c>
      <c r="B47" s="267" t="s">
        <v>908</v>
      </c>
      <c r="C47" s="250">
        <v>44592</v>
      </c>
      <c r="D47" s="268">
        <v>26000000</v>
      </c>
      <c r="E47" s="269">
        <v>0</v>
      </c>
      <c r="G47" s="245"/>
      <c r="H47" s="245"/>
      <c r="I47" s="270"/>
      <c r="J47" s="245"/>
      <c r="K47" s="245"/>
      <c r="L47" s="245"/>
      <c r="M47" s="245"/>
      <c r="N47" s="245"/>
      <c r="O47" s="245"/>
    </row>
    <row r="48" spans="1:15" s="244" customFormat="1" ht="13.8" x14ac:dyDescent="0.3">
      <c r="A48" s="266" t="s">
        <v>533</v>
      </c>
      <c r="B48" s="249" t="s">
        <v>426</v>
      </c>
      <c r="C48" s="250" t="s">
        <v>333</v>
      </c>
      <c r="D48" s="251">
        <v>240000000</v>
      </c>
      <c r="E48" s="252">
        <v>186107256</v>
      </c>
      <c r="G48" s="245"/>
      <c r="H48" s="245"/>
      <c r="I48" s="245"/>
      <c r="J48" s="270"/>
      <c r="K48" s="245"/>
      <c r="L48" s="245"/>
      <c r="M48" s="245"/>
      <c r="N48" s="245"/>
      <c r="O48" s="245"/>
    </row>
    <row r="49" spans="1:15" s="238" customFormat="1" ht="13.8" x14ac:dyDescent="0.3">
      <c r="A49" s="266" t="s">
        <v>533</v>
      </c>
      <c r="B49" s="249" t="s">
        <v>534</v>
      </c>
      <c r="C49" s="250">
        <v>44620</v>
      </c>
      <c r="D49" s="251">
        <v>115000</v>
      </c>
      <c r="E49" s="252">
        <v>2495069</v>
      </c>
      <c r="G49" s="256"/>
      <c r="H49" s="256"/>
      <c r="I49" s="256"/>
      <c r="J49" s="271"/>
      <c r="K49" s="256"/>
      <c r="L49" s="256"/>
      <c r="M49" s="256"/>
      <c r="N49" s="256"/>
      <c r="O49" s="256"/>
    </row>
    <row r="50" spans="1:15" s="238" customFormat="1" x14ac:dyDescent="0.25">
      <c r="A50" s="266" t="s">
        <v>427</v>
      </c>
      <c r="B50" s="267" t="s">
        <v>428</v>
      </c>
      <c r="C50" s="250">
        <v>44196</v>
      </c>
      <c r="D50" s="268">
        <f>5282573-3737900</f>
        <v>1544673</v>
      </c>
      <c r="E50" s="272">
        <v>0</v>
      </c>
      <c r="F50" s="256"/>
      <c r="G50" s="256"/>
      <c r="H50" s="256"/>
      <c r="I50" s="256"/>
      <c r="J50" s="256"/>
      <c r="K50" s="256"/>
      <c r="L50" s="256"/>
      <c r="M50" s="256"/>
      <c r="N50" s="256"/>
      <c r="O50" s="256"/>
    </row>
    <row r="51" spans="1:15" s="238" customFormat="1" x14ac:dyDescent="0.25">
      <c r="A51" s="266" t="s">
        <v>427</v>
      </c>
      <c r="B51" s="267" t="s">
        <v>429</v>
      </c>
      <c r="C51" s="250">
        <v>43356</v>
      </c>
      <c r="D51" s="268">
        <v>1700000</v>
      </c>
      <c r="E51" s="269">
        <v>0</v>
      </c>
      <c r="F51" s="256"/>
      <c r="H51" s="256"/>
      <c r="I51" s="256"/>
      <c r="J51" s="256"/>
      <c r="K51" s="256"/>
      <c r="L51" s="256"/>
      <c r="M51" s="256"/>
      <c r="N51" s="256"/>
      <c r="O51" s="256"/>
    </row>
    <row r="52" spans="1:15" s="238" customFormat="1" x14ac:dyDescent="0.25">
      <c r="A52" s="266" t="s">
        <v>909</v>
      </c>
      <c r="B52" s="267" t="s">
        <v>910</v>
      </c>
      <c r="C52" s="250" t="s">
        <v>333</v>
      </c>
      <c r="D52" s="268">
        <f>E52*6</f>
        <v>4061460</v>
      </c>
      <c r="E52" s="269">
        <v>676910</v>
      </c>
      <c r="F52" s="256"/>
      <c r="H52" s="256"/>
      <c r="I52" s="256"/>
      <c r="J52" s="256"/>
      <c r="K52" s="256"/>
      <c r="L52" s="256"/>
      <c r="M52" s="256"/>
      <c r="N52" s="256"/>
      <c r="O52" s="256"/>
    </row>
    <row r="53" spans="1:15" s="244" customFormat="1" x14ac:dyDescent="0.25">
      <c r="A53" s="248" t="s">
        <v>430</v>
      </c>
      <c r="B53" s="249" t="s">
        <v>431</v>
      </c>
      <c r="C53" s="250" t="s">
        <v>333</v>
      </c>
      <c r="D53" s="251">
        <f>112415+(11*100600)</f>
        <v>1219015</v>
      </c>
      <c r="E53" s="252">
        <v>1333532</v>
      </c>
      <c r="G53" s="245"/>
      <c r="H53" s="245"/>
      <c r="I53" s="245"/>
      <c r="J53" s="245"/>
      <c r="K53" s="245"/>
      <c r="L53" s="245"/>
      <c r="M53" s="245"/>
      <c r="N53" s="245"/>
      <c r="O53" s="245"/>
    </row>
    <row r="54" spans="1:15" s="244" customFormat="1" x14ac:dyDescent="0.25">
      <c r="A54" s="248" t="s">
        <v>430</v>
      </c>
      <c r="B54" s="249" t="s">
        <v>432</v>
      </c>
      <c r="C54" s="250" t="s">
        <v>333</v>
      </c>
      <c r="D54" s="251">
        <f>23700*12</f>
        <v>284400</v>
      </c>
      <c r="E54" s="252">
        <v>284400</v>
      </c>
      <c r="F54" s="245"/>
      <c r="G54" s="245"/>
      <c r="H54" s="245"/>
      <c r="I54" s="245"/>
      <c r="J54" s="245"/>
      <c r="K54" s="245"/>
      <c r="L54" s="245"/>
      <c r="M54" s="245"/>
      <c r="N54" s="245"/>
      <c r="O54" s="245"/>
    </row>
    <row r="55" spans="1:15" s="238" customFormat="1" x14ac:dyDescent="0.25">
      <c r="A55" s="266" t="s">
        <v>433</v>
      </c>
      <c r="B55" s="267" t="s">
        <v>434</v>
      </c>
      <c r="C55" s="250" t="s">
        <v>333</v>
      </c>
      <c r="D55" s="251">
        <f>E55*E6</f>
        <v>5009670</v>
      </c>
      <c r="E55" s="273">
        <v>5009670</v>
      </c>
      <c r="G55" s="256"/>
      <c r="H55" s="256"/>
      <c r="I55" s="256"/>
      <c r="J55" s="256"/>
      <c r="K55" s="256"/>
      <c r="L55" s="256"/>
      <c r="M55" s="256"/>
      <c r="N55" s="256"/>
      <c r="O55" s="256"/>
    </row>
    <row r="56" spans="1:15" s="244" customFormat="1" x14ac:dyDescent="0.25">
      <c r="A56" s="266" t="s">
        <v>671</v>
      </c>
      <c r="B56" s="267" t="s">
        <v>672</v>
      </c>
      <c r="C56" s="250">
        <v>47849</v>
      </c>
      <c r="D56" s="274">
        <f>E56*1.051</f>
        <v>301770748.15799999</v>
      </c>
      <c r="E56" s="273">
        <v>287127258</v>
      </c>
      <c r="G56" s="245"/>
      <c r="H56" s="245"/>
      <c r="I56" s="245"/>
      <c r="J56" s="245"/>
      <c r="K56" s="245"/>
      <c r="L56" s="245"/>
      <c r="M56" s="245"/>
      <c r="N56" s="245"/>
      <c r="O56" s="245"/>
    </row>
    <row r="57" spans="1:15" s="244" customFormat="1" x14ac:dyDescent="0.25">
      <c r="A57" s="266" t="s">
        <v>911</v>
      </c>
      <c r="B57" s="202" t="s">
        <v>912</v>
      </c>
      <c r="C57" s="250">
        <v>44598</v>
      </c>
      <c r="D57" s="274">
        <f>13271500-E57</f>
        <v>2654300</v>
      </c>
      <c r="E57" s="273">
        <v>10617200</v>
      </c>
      <c r="G57" s="245"/>
      <c r="H57" s="245"/>
      <c r="I57" s="245"/>
      <c r="J57" s="245"/>
      <c r="K57" s="245"/>
      <c r="L57" s="245"/>
      <c r="M57" s="245"/>
      <c r="N57" s="245"/>
      <c r="O57" s="245"/>
    </row>
    <row r="58" spans="1:15" s="244" customFormat="1" x14ac:dyDescent="0.25">
      <c r="A58" s="266" t="s">
        <v>673</v>
      </c>
      <c r="B58" s="267" t="s">
        <v>674</v>
      </c>
      <c r="C58" s="250">
        <v>44166</v>
      </c>
      <c r="D58" s="274">
        <f>2656000-E58</f>
        <v>2213833</v>
      </c>
      <c r="E58" s="273">
        <v>442167</v>
      </c>
      <c r="G58" s="245"/>
      <c r="H58" s="245"/>
      <c r="I58" s="245"/>
      <c r="J58" s="245"/>
      <c r="K58" s="245"/>
      <c r="L58" s="245"/>
      <c r="M58" s="245"/>
      <c r="N58" s="245"/>
      <c r="O58" s="245"/>
    </row>
    <row r="59" spans="1:15" s="244" customFormat="1" x14ac:dyDescent="0.25">
      <c r="A59" s="247" t="s">
        <v>913</v>
      </c>
      <c r="B59" s="246" t="s">
        <v>914</v>
      </c>
      <c r="C59" s="250" t="s">
        <v>333</v>
      </c>
      <c r="D59" s="274">
        <f>E59</f>
        <v>406400</v>
      </c>
      <c r="E59" s="273">
        <v>406400</v>
      </c>
      <c r="G59" s="245"/>
      <c r="H59" s="245"/>
      <c r="I59" s="245"/>
      <c r="J59" s="245"/>
      <c r="K59" s="245"/>
      <c r="L59" s="245"/>
      <c r="M59" s="245"/>
      <c r="N59" s="245"/>
      <c r="O59" s="245"/>
    </row>
    <row r="60" spans="1:15" s="244" customFormat="1" x14ac:dyDescent="0.25">
      <c r="A60" s="275" t="s">
        <v>344</v>
      </c>
      <c r="B60" s="276" t="s">
        <v>435</v>
      </c>
      <c r="C60" s="212" t="s">
        <v>333</v>
      </c>
      <c r="D60" s="251">
        <f>E60</f>
        <v>36795747</v>
      </c>
      <c r="E60" s="273">
        <f>23720748+13074999</f>
        <v>36795747</v>
      </c>
      <c r="G60" s="245"/>
      <c r="H60" s="245"/>
      <c r="I60" s="245"/>
      <c r="J60" s="245"/>
      <c r="K60" s="245"/>
      <c r="L60" s="245"/>
      <c r="M60" s="245"/>
      <c r="N60" s="245"/>
      <c r="O60" s="245"/>
    </row>
    <row r="61" spans="1:15" s="244" customFormat="1" x14ac:dyDescent="0.25">
      <c r="A61" s="275" t="s">
        <v>344</v>
      </c>
      <c r="B61" s="276" t="s">
        <v>436</v>
      </c>
      <c r="C61" s="212" t="s">
        <v>333</v>
      </c>
      <c r="D61" s="251">
        <f>E61</f>
        <v>17644360</v>
      </c>
      <c r="E61" s="252">
        <v>17644360</v>
      </c>
      <c r="G61" s="245"/>
      <c r="H61" s="245"/>
      <c r="I61" s="245"/>
      <c r="J61" s="245"/>
      <c r="K61" s="245"/>
      <c r="L61" s="245"/>
      <c r="M61" s="245"/>
      <c r="N61" s="245"/>
      <c r="O61" s="245"/>
    </row>
    <row r="62" spans="1:15" s="244" customFormat="1" x14ac:dyDescent="0.25">
      <c r="A62" s="248" t="s">
        <v>437</v>
      </c>
      <c r="B62" s="249" t="s">
        <v>438</v>
      </c>
      <c r="C62" s="250" t="s">
        <v>333</v>
      </c>
      <c r="D62" s="251">
        <v>2718500</v>
      </c>
      <c r="E62" s="252">
        <v>3592000</v>
      </c>
      <c r="G62" s="245"/>
      <c r="H62" s="245"/>
      <c r="I62" s="245"/>
      <c r="J62" s="245"/>
      <c r="K62" s="245"/>
      <c r="L62" s="245"/>
      <c r="M62" s="245"/>
      <c r="N62" s="245"/>
      <c r="O62" s="245"/>
    </row>
    <row r="63" spans="1:15" s="244" customFormat="1" x14ac:dyDescent="0.25">
      <c r="A63" s="248" t="s">
        <v>439</v>
      </c>
      <c r="B63" s="249" t="s">
        <v>440</v>
      </c>
      <c r="C63" s="250">
        <v>45046</v>
      </c>
      <c r="D63" s="251">
        <f>1114500*12</f>
        <v>13374000</v>
      </c>
      <c r="E63" s="252">
        <v>13374000</v>
      </c>
      <c r="G63" s="245"/>
      <c r="H63" s="245"/>
      <c r="I63" s="245"/>
      <c r="J63" s="245"/>
      <c r="K63" s="245"/>
      <c r="L63" s="245"/>
      <c r="M63" s="245"/>
      <c r="N63" s="245"/>
      <c r="O63" s="245"/>
    </row>
    <row r="64" spans="1:15" s="244" customFormat="1" ht="26.4" x14ac:dyDescent="0.25">
      <c r="A64" s="248" t="s">
        <v>675</v>
      </c>
      <c r="B64" s="253" t="s">
        <v>676</v>
      </c>
      <c r="C64" s="250">
        <v>44926</v>
      </c>
      <c r="D64" s="251">
        <f>11*150000+100000</f>
        <v>1750000</v>
      </c>
      <c r="E64" s="252">
        <v>1100000</v>
      </c>
      <c r="G64" s="277"/>
      <c r="H64" s="245"/>
      <c r="I64" s="245"/>
      <c r="J64" s="245"/>
      <c r="K64" s="245"/>
      <c r="L64" s="245"/>
      <c r="M64" s="245"/>
      <c r="N64" s="245"/>
      <c r="O64" s="245"/>
    </row>
    <row r="65" spans="1:15" s="238" customFormat="1" ht="26.4" x14ac:dyDescent="0.25">
      <c r="A65" s="248" t="s">
        <v>441</v>
      </c>
      <c r="B65" s="253" t="s">
        <v>535</v>
      </c>
      <c r="C65" s="250" t="s">
        <v>536</v>
      </c>
      <c r="D65" s="251">
        <v>390000</v>
      </c>
      <c r="E65" s="252">
        <v>0</v>
      </c>
      <c r="G65" s="278"/>
      <c r="H65" s="256"/>
      <c r="I65" s="256"/>
      <c r="J65" s="256"/>
      <c r="K65" s="256"/>
      <c r="L65" s="256"/>
      <c r="M65" s="256"/>
      <c r="N65" s="256"/>
      <c r="O65" s="256"/>
    </row>
    <row r="66" spans="1:15" s="244" customFormat="1" ht="26.4" x14ac:dyDescent="0.25">
      <c r="A66" s="248" t="s">
        <v>915</v>
      </c>
      <c r="B66" s="279" t="s">
        <v>916</v>
      </c>
      <c r="C66" s="250" t="s">
        <v>917</v>
      </c>
      <c r="D66" s="251">
        <f>5700000*1.27</f>
        <v>7239000</v>
      </c>
      <c r="E66" s="252">
        <v>0</v>
      </c>
      <c r="G66" s="277"/>
      <c r="H66" s="245"/>
      <c r="I66" s="245"/>
      <c r="J66" s="245"/>
      <c r="K66" s="245"/>
      <c r="L66" s="245"/>
      <c r="M66" s="245"/>
      <c r="N66" s="245"/>
      <c r="O66" s="245"/>
    </row>
    <row r="67" spans="1:15" s="238" customFormat="1" x14ac:dyDescent="0.25">
      <c r="A67" s="275" t="s">
        <v>443</v>
      </c>
      <c r="B67" s="211" t="s">
        <v>537</v>
      </c>
      <c r="C67" s="212" t="s">
        <v>333</v>
      </c>
      <c r="D67" s="251">
        <f>E67</f>
        <v>347418</v>
      </c>
      <c r="E67" s="252">
        <v>347418</v>
      </c>
      <c r="G67" s="256"/>
      <c r="H67" s="256"/>
      <c r="I67" s="256"/>
      <c r="J67" s="256"/>
      <c r="K67" s="256"/>
      <c r="L67" s="256"/>
      <c r="M67" s="256"/>
      <c r="N67" s="256"/>
      <c r="O67" s="256"/>
    </row>
    <row r="68" spans="1:15" s="238" customFormat="1" x14ac:dyDescent="0.25">
      <c r="A68" s="275" t="s">
        <v>443</v>
      </c>
      <c r="B68" s="211" t="s">
        <v>444</v>
      </c>
      <c r="C68" s="212" t="s">
        <v>333</v>
      </c>
      <c r="D68" s="251">
        <f>E68</f>
        <v>307181</v>
      </c>
      <c r="E68" s="252">
        <v>307181</v>
      </c>
      <c r="G68" s="256"/>
      <c r="H68" s="256"/>
      <c r="I68" s="256"/>
      <c r="J68" s="256"/>
      <c r="K68" s="256"/>
      <c r="L68" s="256"/>
      <c r="M68" s="256"/>
      <c r="N68" s="256"/>
      <c r="O68" s="256"/>
    </row>
    <row r="69" spans="1:15" s="238" customFormat="1" x14ac:dyDescent="0.25">
      <c r="A69" s="275" t="s">
        <v>443</v>
      </c>
      <c r="B69" s="211" t="s">
        <v>538</v>
      </c>
      <c r="C69" s="212">
        <v>44742</v>
      </c>
      <c r="D69" s="251">
        <f>E69/2</f>
        <v>146555</v>
      </c>
      <c r="E69" s="252">
        <v>293110</v>
      </c>
      <c r="G69" s="256"/>
      <c r="H69" s="256"/>
      <c r="I69" s="256"/>
      <c r="J69" s="256"/>
      <c r="K69" s="256"/>
      <c r="L69" s="256"/>
      <c r="M69" s="256"/>
      <c r="N69" s="256"/>
      <c r="O69" s="256"/>
    </row>
    <row r="70" spans="1:15" s="238" customFormat="1" x14ac:dyDescent="0.25">
      <c r="A70" s="275" t="s">
        <v>445</v>
      </c>
      <c r="B70" s="276" t="s">
        <v>446</v>
      </c>
      <c r="C70" s="212" t="s">
        <v>333</v>
      </c>
      <c r="D70" s="251">
        <f>4*4500</f>
        <v>18000</v>
      </c>
      <c r="E70" s="252">
        <v>18000</v>
      </c>
      <c r="G70" s="256"/>
      <c r="H70" s="256"/>
      <c r="I70" s="256"/>
      <c r="J70" s="256"/>
      <c r="K70" s="256"/>
      <c r="L70" s="256"/>
      <c r="M70" s="256"/>
      <c r="N70" s="256"/>
      <c r="O70" s="256"/>
    </row>
    <row r="71" spans="1:15" s="238" customFormat="1" x14ac:dyDescent="0.25">
      <c r="A71" s="280" t="s">
        <v>918</v>
      </c>
      <c r="B71" s="202" t="s">
        <v>919</v>
      </c>
      <c r="C71" s="212">
        <v>44734</v>
      </c>
      <c r="D71" s="251">
        <f>160020000-E71</f>
        <v>152019000</v>
      </c>
      <c r="E71" s="252">
        <v>8001000</v>
      </c>
      <c r="G71" s="256"/>
      <c r="H71" s="256"/>
      <c r="I71" s="256"/>
      <c r="J71" s="256"/>
      <c r="K71" s="256"/>
      <c r="L71" s="256"/>
      <c r="M71" s="256"/>
      <c r="N71" s="256"/>
      <c r="O71" s="256"/>
    </row>
    <row r="72" spans="1:15" s="238" customFormat="1" x14ac:dyDescent="0.25">
      <c r="A72" s="280" t="s">
        <v>920</v>
      </c>
      <c r="B72" s="202" t="s">
        <v>902</v>
      </c>
      <c r="C72" s="212">
        <v>44712</v>
      </c>
      <c r="D72" s="251">
        <v>300000</v>
      </c>
      <c r="E72" s="252">
        <v>0</v>
      </c>
      <c r="G72" s="256"/>
      <c r="H72" s="256"/>
      <c r="I72" s="256"/>
      <c r="J72" s="256"/>
      <c r="K72" s="256"/>
      <c r="L72" s="256"/>
      <c r="M72" s="256"/>
      <c r="N72" s="256"/>
      <c r="O72" s="256"/>
    </row>
    <row r="73" spans="1:15" s="244" customFormat="1" x14ac:dyDescent="0.25">
      <c r="A73" s="275" t="s">
        <v>447</v>
      </c>
      <c r="B73" s="276" t="s">
        <v>677</v>
      </c>
      <c r="C73" s="212">
        <v>44630</v>
      </c>
      <c r="D73" s="251">
        <f>195000</f>
        <v>195000</v>
      </c>
      <c r="E73" s="252">
        <v>780000</v>
      </c>
      <c r="F73" s="238"/>
      <c r="G73" s="245"/>
      <c r="H73" s="245"/>
      <c r="I73" s="245"/>
      <c r="J73" s="245"/>
      <c r="K73" s="245"/>
      <c r="L73" s="245"/>
      <c r="M73" s="245"/>
      <c r="N73" s="245"/>
      <c r="O73" s="245"/>
    </row>
    <row r="74" spans="1:15" s="244" customFormat="1" x14ac:dyDescent="0.25">
      <c r="A74" s="247" t="s">
        <v>921</v>
      </c>
      <c r="B74" s="246" t="s">
        <v>922</v>
      </c>
      <c r="C74" s="212">
        <v>44666</v>
      </c>
      <c r="D74" s="251">
        <f>82339180-E74</f>
        <v>69988303</v>
      </c>
      <c r="E74" s="252">
        <v>12350877</v>
      </c>
      <c r="F74" s="238"/>
      <c r="G74" s="245"/>
      <c r="H74" s="245"/>
      <c r="I74" s="245"/>
      <c r="J74" s="245"/>
      <c r="K74" s="245"/>
      <c r="L74" s="245"/>
      <c r="M74" s="245"/>
      <c r="N74" s="245"/>
      <c r="O74" s="245"/>
    </row>
    <row r="75" spans="1:15" s="238" customFormat="1" x14ac:dyDescent="0.25">
      <c r="A75" s="275" t="s">
        <v>448</v>
      </c>
      <c r="B75" s="276" t="s">
        <v>449</v>
      </c>
      <c r="C75" s="212" t="s">
        <v>333</v>
      </c>
      <c r="D75" s="251">
        <f>E75</f>
        <v>85013</v>
      </c>
      <c r="E75" s="252">
        <v>85013</v>
      </c>
      <c r="G75" s="256"/>
      <c r="H75" s="256"/>
      <c r="I75" s="256"/>
      <c r="J75" s="256"/>
      <c r="K75" s="256"/>
      <c r="L75" s="256"/>
      <c r="M75" s="256"/>
      <c r="N75" s="256"/>
      <c r="O75" s="256"/>
    </row>
    <row r="76" spans="1:15" s="238" customFormat="1" ht="26.4" x14ac:dyDescent="0.25">
      <c r="A76" s="275" t="s">
        <v>923</v>
      </c>
      <c r="B76" s="279" t="s">
        <v>924</v>
      </c>
      <c r="C76" s="212" t="s">
        <v>925</v>
      </c>
      <c r="D76" s="251">
        <v>3000000</v>
      </c>
      <c r="E76" s="252">
        <v>0</v>
      </c>
      <c r="G76" s="256"/>
      <c r="H76" s="256"/>
      <c r="I76" s="256"/>
      <c r="J76" s="256"/>
      <c r="K76" s="256"/>
      <c r="L76" s="256"/>
      <c r="M76" s="256"/>
      <c r="N76" s="256"/>
      <c r="O76" s="256"/>
    </row>
    <row r="77" spans="1:15" s="238" customFormat="1" ht="26.4" x14ac:dyDescent="0.25">
      <c r="A77" s="275" t="s">
        <v>923</v>
      </c>
      <c r="B77" s="279" t="s">
        <v>926</v>
      </c>
      <c r="C77" s="212" t="s">
        <v>925</v>
      </c>
      <c r="D77" s="251">
        <v>3000000</v>
      </c>
      <c r="E77" s="252">
        <v>0</v>
      </c>
      <c r="G77" s="256"/>
      <c r="H77" s="256"/>
      <c r="I77" s="256"/>
      <c r="J77" s="256"/>
      <c r="K77" s="256"/>
      <c r="L77" s="256"/>
      <c r="M77" s="256"/>
      <c r="N77" s="256"/>
      <c r="O77" s="256"/>
    </row>
    <row r="78" spans="1:15" s="238" customFormat="1" ht="26.4" x14ac:dyDescent="0.25">
      <c r="A78" s="275" t="s">
        <v>923</v>
      </c>
      <c r="B78" s="279" t="s">
        <v>927</v>
      </c>
      <c r="C78" s="212" t="s">
        <v>925</v>
      </c>
      <c r="D78" s="251">
        <v>3000000</v>
      </c>
      <c r="E78" s="252">
        <v>0</v>
      </c>
      <c r="G78" s="256"/>
      <c r="H78" s="256"/>
      <c r="I78" s="256"/>
      <c r="J78" s="256"/>
      <c r="K78" s="256"/>
      <c r="L78" s="256"/>
      <c r="M78" s="256"/>
      <c r="N78" s="256"/>
      <c r="O78" s="256"/>
    </row>
    <row r="79" spans="1:15" s="238" customFormat="1" ht="26.4" x14ac:dyDescent="0.25">
      <c r="A79" s="275" t="s">
        <v>928</v>
      </c>
      <c r="B79" s="279" t="s">
        <v>929</v>
      </c>
      <c r="C79" s="212" t="s">
        <v>930</v>
      </c>
      <c r="D79" s="251">
        <f>1700000+350000</f>
        <v>2050000</v>
      </c>
      <c r="E79" s="252">
        <v>0</v>
      </c>
      <c r="G79" s="256"/>
      <c r="H79" s="256"/>
      <c r="I79" s="256"/>
      <c r="J79" s="256"/>
      <c r="K79" s="256"/>
      <c r="L79" s="256"/>
      <c r="M79" s="256"/>
      <c r="N79" s="256"/>
      <c r="O79" s="256"/>
    </row>
    <row r="80" spans="1:15" s="238" customFormat="1" x14ac:dyDescent="0.25">
      <c r="A80" s="281" t="s">
        <v>678</v>
      </c>
      <c r="B80" s="246" t="s">
        <v>679</v>
      </c>
      <c r="C80" s="212" t="s">
        <v>333</v>
      </c>
      <c r="D80" s="251">
        <v>2923950</v>
      </c>
      <c r="E80" s="252">
        <v>2727800</v>
      </c>
      <c r="G80" s="256"/>
      <c r="H80" s="256"/>
      <c r="I80" s="256"/>
      <c r="J80" s="256"/>
      <c r="K80" s="256"/>
      <c r="L80" s="256"/>
      <c r="M80" s="256"/>
      <c r="N80" s="256"/>
      <c r="O80" s="256"/>
    </row>
    <row r="81" spans="1:15" s="238" customFormat="1" x14ac:dyDescent="0.25">
      <c r="A81" s="281" t="s">
        <v>678</v>
      </c>
      <c r="B81" s="246" t="s">
        <v>680</v>
      </c>
      <c r="C81" s="212" t="s">
        <v>333</v>
      </c>
      <c r="D81" s="251">
        <v>3403600</v>
      </c>
      <c r="E81" s="252">
        <v>3300000</v>
      </c>
      <c r="G81" s="256"/>
      <c r="H81" s="256"/>
      <c r="I81" s="256"/>
      <c r="J81" s="256"/>
      <c r="K81" s="256"/>
      <c r="L81" s="256"/>
      <c r="M81" s="256"/>
      <c r="N81" s="256"/>
      <c r="O81" s="256"/>
    </row>
    <row r="82" spans="1:15" s="238" customFormat="1" x14ac:dyDescent="0.25">
      <c r="A82" s="281" t="s">
        <v>678</v>
      </c>
      <c r="B82" s="246" t="s">
        <v>389</v>
      </c>
      <c r="C82" s="212" t="s">
        <v>333</v>
      </c>
      <c r="D82" s="251">
        <f>240000*2</f>
        <v>480000</v>
      </c>
      <c r="E82" s="252">
        <v>480000</v>
      </c>
      <c r="G82" s="256"/>
      <c r="H82" s="256"/>
      <c r="I82" s="256"/>
      <c r="J82" s="256"/>
      <c r="K82" s="256"/>
      <c r="L82" s="256"/>
      <c r="M82" s="256"/>
      <c r="N82" s="256"/>
      <c r="O82" s="256"/>
    </row>
    <row r="83" spans="1:15" s="238" customFormat="1" x14ac:dyDescent="0.25">
      <c r="A83" s="275" t="s">
        <v>450</v>
      </c>
      <c r="B83" s="276" t="s">
        <v>451</v>
      </c>
      <c r="C83" s="212" t="s">
        <v>333</v>
      </c>
      <c r="D83" s="251">
        <f>25400*12</f>
        <v>304800</v>
      </c>
      <c r="E83" s="252">
        <v>223520</v>
      </c>
      <c r="G83" s="256"/>
      <c r="H83" s="256"/>
      <c r="I83" s="256"/>
      <c r="J83" s="256"/>
      <c r="K83" s="256"/>
      <c r="L83" s="256"/>
      <c r="M83" s="256"/>
      <c r="N83" s="256"/>
      <c r="O83" s="256"/>
    </row>
    <row r="84" spans="1:15" s="244" customFormat="1" x14ac:dyDescent="0.25">
      <c r="A84" s="275" t="s">
        <v>452</v>
      </c>
      <c r="B84" s="246" t="s">
        <v>453</v>
      </c>
      <c r="C84" s="250" t="s">
        <v>884</v>
      </c>
      <c r="D84" s="251">
        <f>12*30000</f>
        <v>360000</v>
      </c>
      <c r="E84" s="252">
        <v>330000</v>
      </c>
      <c r="G84" s="245"/>
      <c r="H84" s="245"/>
      <c r="I84" s="245"/>
      <c r="J84" s="245"/>
      <c r="K84" s="245"/>
      <c r="L84" s="245"/>
      <c r="M84" s="245"/>
      <c r="N84" s="245"/>
      <c r="O84" s="245"/>
    </row>
    <row r="85" spans="1:15" s="244" customFormat="1" ht="26.4" x14ac:dyDescent="0.25">
      <c r="A85" s="282" t="s">
        <v>454</v>
      </c>
      <c r="B85" s="144" t="s">
        <v>931</v>
      </c>
      <c r="C85" s="283">
        <v>44742</v>
      </c>
      <c r="D85" s="284">
        <v>16919190</v>
      </c>
      <c r="E85" s="272">
        <v>65191847</v>
      </c>
      <c r="F85" s="256"/>
      <c r="G85" s="245"/>
      <c r="H85" s="245"/>
      <c r="I85" s="245"/>
      <c r="J85" s="245"/>
      <c r="K85" s="245"/>
      <c r="L85" s="245"/>
      <c r="M85" s="245"/>
      <c r="N85" s="245"/>
      <c r="O85" s="245"/>
    </row>
    <row r="86" spans="1:15" s="238" customFormat="1" x14ac:dyDescent="0.25">
      <c r="A86" s="282" t="s">
        <v>455</v>
      </c>
      <c r="B86" s="285" t="s">
        <v>456</v>
      </c>
      <c r="C86" s="212" t="s">
        <v>333</v>
      </c>
      <c r="D86" s="284">
        <f>E86</f>
        <v>78210</v>
      </c>
      <c r="E86" s="272">
        <v>78210</v>
      </c>
      <c r="G86" s="256"/>
      <c r="H86" s="256"/>
      <c r="I86" s="256"/>
      <c r="J86" s="256"/>
      <c r="K86" s="256"/>
      <c r="L86" s="256"/>
      <c r="M86" s="256"/>
      <c r="N86" s="256"/>
      <c r="O86" s="256"/>
    </row>
    <row r="87" spans="1:15" s="238" customFormat="1" ht="39.6" x14ac:dyDescent="0.25">
      <c r="A87" s="282" t="s">
        <v>539</v>
      </c>
      <c r="B87" s="279" t="s">
        <v>932</v>
      </c>
      <c r="C87" s="212" t="s">
        <v>933</v>
      </c>
      <c r="D87" s="284">
        <v>5524500</v>
      </c>
      <c r="E87" s="272">
        <v>0</v>
      </c>
      <c r="G87" s="256"/>
      <c r="H87" s="256"/>
      <c r="I87" s="256"/>
      <c r="J87" s="256"/>
      <c r="K87" s="256"/>
      <c r="L87" s="256"/>
      <c r="M87" s="256"/>
      <c r="N87" s="256"/>
      <c r="O87" s="256"/>
    </row>
    <row r="88" spans="1:15" s="238" customFormat="1" ht="26.4" x14ac:dyDescent="0.25">
      <c r="A88" s="282" t="s">
        <v>539</v>
      </c>
      <c r="B88" s="279" t="s">
        <v>934</v>
      </c>
      <c r="C88" s="212">
        <v>44569</v>
      </c>
      <c r="D88" s="284">
        <v>1047750</v>
      </c>
      <c r="E88" s="272">
        <v>0</v>
      </c>
      <c r="G88" s="256"/>
      <c r="H88" s="256"/>
      <c r="I88" s="256"/>
      <c r="J88" s="256"/>
      <c r="K88" s="256"/>
      <c r="L88" s="256"/>
      <c r="M88" s="256"/>
      <c r="N88" s="256"/>
      <c r="O88" s="256"/>
    </row>
    <row r="89" spans="1:15" s="238" customFormat="1" ht="39.6" x14ac:dyDescent="0.25">
      <c r="A89" s="282" t="s">
        <v>539</v>
      </c>
      <c r="B89" s="279" t="s">
        <v>935</v>
      </c>
      <c r="C89" s="212">
        <v>44355</v>
      </c>
      <c r="D89" s="284">
        <v>3746500</v>
      </c>
      <c r="E89" s="272">
        <v>0</v>
      </c>
      <c r="G89" s="256"/>
      <c r="H89" s="256"/>
      <c r="I89" s="256"/>
      <c r="J89" s="256"/>
      <c r="K89" s="256"/>
      <c r="L89" s="256"/>
      <c r="M89" s="256"/>
      <c r="N89" s="256"/>
      <c r="O89" s="256"/>
    </row>
    <row r="90" spans="1:15" s="238" customFormat="1" ht="26.4" x14ac:dyDescent="0.25">
      <c r="A90" s="282" t="s">
        <v>539</v>
      </c>
      <c r="B90" s="279" t="s">
        <v>936</v>
      </c>
      <c r="C90" s="212" t="s">
        <v>442</v>
      </c>
      <c r="D90" s="284">
        <f>1570000*1.27</f>
        <v>1993900</v>
      </c>
      <c r="E90" s="272">
        <v>0</v>
      </c>
      <c r="G90" s="256"/>
      <c r="H90" s="256"/>
      <c r="I90" s="256"/>
      <c r="J90" s="256"/>
      <c r="K90" s="256"/>
      <c r="L90" s="256"/>
      <c r="M90" s="256"/>
      <c r="N90" s="256"/>
      <c r="O90" s="256"/>
    </row>
    <row r="91" spans="1:15" s="244" customFormat="1" ht="26.4" x14ac:dyDescent="0.25">
      <c r="A91" s="261" t="s">
        <v>937</v>
      </c>
      <c r="B91" s="144" t="s">
        <v>938</v>
      </c>
      <c r="C91" s="286"/>
      <c r="D91" s="284">
        <v>200000</v>
      </c>
      <c r="E91" s="272">
        <v>300000</v>
      </c>
      <c r="G91" s="245"/>
      <c r="H91" s="245"/>
      <c r="I91" s="245"/>
      <c r="J91" s="245"/>
      <c r="K91" s="245"/>
      <c r="L91" s="245"/>
      <c r="M91" s="245"/>
      <c r="N91" s="245"/>
      <c r="O91" s="245"/>
    </row>
    <row r="92" spans="1:15" s="238" customFormat="1" x14ac:dyDescent="0.25">
      <c r="A92" s="275" t="s">
        <v>375</v>
      </c>
      <c r="B92" s="276" t="s">
        <v>681</v>
      </c>
      <c r="C92" s="212" t="s">
        <v>333</v>
      </c>
      <c r="D92" s="251">
        <f>E92</f>
        <v>152926</v>
      </c>
      <c r="E92" s="252">
        <v>152926</v>
      </c>
      <c r="G92" s="256"/>
      <c r="H92" s="256"/>
      <c r="I92" s="256"/>
      <c r="J92" s="256"/>
      <c r="K92" s="256"/>
      <c r="L92" s="256"/>
      <c r="M92" s="256"/>
      <c r="N92" s="256"/>
      <c r="O92" s="256"/>
    </row>
    <row r="93" spans="1:15" s="238" customFormat="1" x14ac:dyDescent="0.25">
      <c r="A93" s="275" t="s">
        <v>939</v>
      </c>
      <c r="B93" s="276" t="s">
        <v>902</v>
      </c>
      <c r="C93" s="212">
        <v>44712</v>
      </c>
      <c r="D93" s="251">
        <v>500000</v>
      </c>
      <c r="E93" s="252">
        <v>0</v>
      </c>
      <c r="G93" s="256"/>
      <c r="H93" s="256"/>
      <c r="I93" s="256"/>
      <c r="J93" s="256"/>
      <c r="K93" s="256"/>
      <c r="L93" s="256"/>
      <c r="M93" s="256"/>
      <c r="N93" s="256"/>
      <c r="O93" s="256"/>
    </row>
    <row r="94" spans="1:15" s="244" customFormat="1" x14ac:dyDescent="0.25">
      <c r="A94" s="275" t="s">
        <v>457</v>
      </c>
      <c r="B94" s="276" t="s">
        <v>540</v>
      </c>
      <c r="C94" s="212">
        <v>43738</v>
      </c>
      <c r="D94" s="251">
        <v>523875</v>
      </c>
      <c r="E94" s="252">
        <v>0</v>
      </c>
      <c r="G94" s="245"/>
      <c r="H94" s="245"/>
      <c r="I94" s="245"/>
      <c r="J94" s="245"/>
      <c r="K94" s="245"/>
      <c r="L94" s="245"/>
      <c r="M94" s="245"/>
      <c r="N94" s="245"/>
      <c r="O94" s="245"/>
    </row>
    <row r="95" spans="1:15" s="244" customFormat="1" ht="26.4" x14ac:dyDescent="0.25">
      <c r="A95" s="248" t="s">
        <v>682</v>
      </c>
      <c r="B95" s="144" t="s">
        <v>683</v>
      </c>
      <c r="C95" s="258" t="s">
        <v>333</v>
      </c>
      <c r="D95" s="251">
        <f>6350*12</f>
        <v>76200</v>
      </c>
      <c r="E95" s="252">
        <v>76200</v>
      </c>
      <c r="G95" s="245"/>
      <c r="H95" s="245"/>
      <c r="I95" s="245"/>
      <c r="J95" s="245"/>
      <c r="K95" s="245"/>
      <c r="L95" s="245"/>
      <c r="M95" s="245"/>
      <c r="N95" s="245"/>
      <c r="O95" s="245"/>
    </row>
    <row r="96" spans="1:15" s="238" customFormat="1" x14ac:dyDescent="0.25">
      <c r="A96" s="248" t="s">
        <v>458</v>
      </c>
      <c r="B96" s="249" t="s">
        <v>459</v>
      </c>
      <c r="C96" s="258" t="s">
        <v>333</v>
      </c>
      <c r="D96" s="287"/>
      <c r="E96" s="252">
        <v>3118776</v>
      </c>
      <c r="G96" s="256"/>
      <c r="H96" s="256"/>
      <c r="I96" s="256"/>
      <c r="J96" s="256"/>
      <c r="K96" s="256"/>
      <c r="L96" s="256"/>
      <c r="M96" s="256"/>
      <c r="N96" s="256"/>
      <c r="O96" s="256"/>
    </row>
    <row r="97" spans="1:15" s="244" customFormat="1" x14ac:dyDescent="0.25">
      <c r="A97" s="275" t="s">
        <v>684</v>
      </c>
      <c r="B97" s="249" t="s">
        <v>685</v>
      </c>
      <c r="C97" s="250" t="s">
        <v>940</v>
      </c>
      <c r="D97" s="251">
        <v>762000</v>
      </c>
      <c r="E97" s="252">
        <v>762000</v>
      </c>
      <c r="F97" s="238"/>
      <c r="G97" s="245"/>
      <c r="H97" s="245"/>
      <c r="I97" s="245"/>
      <c r="J97" s="245"/>
      <c r="K97" s="245"/>
      <c r="L97" s="245"/>
      <c r="M97" s="245"/>
      <c r="N97" s="245"/>
      <c r="O97" s="245"/>
    </row>
    <row r="98" spans="1:15" s="244" customFormat="1" ht="13.8" x14ac:dyDescent="0.3">
      <c r="A98" s="275" t="s">
        <v>686</v>
      </c>
      <c r="B98" s="246" t="s">
        <v>687</v>
      </c>
      <c r="C98" s="250" t="s">
        <v>333</v>
      </c>
      <c r="D98" s="251">
        <f>E98</f>
        <v>784129</v>
      </c>
      <c r="E98" s="252">
        <v>784129</v>
      </c>
      <c r="G98" s="245"/>
      <c r="H98" s="245"/>
      <c r="I98" s="245"/>
      <c r="J98" s="245"/>
      <c r="K98" s="270"/>
      <c r="L98" s="245"/>
      <c r="M98" s="245"/>
      <c r="N98" s="245"/>
      <c r="O98" s="245"/>
    </row>
    <row r="99" spans="1:15" s="244" customFormat="1" x14ac:dyDescent="0.25">
      <c r="A99" s="248" t="s">
        <v>460</v>
      </c>
      <c r="B99" s="249" t="s">
        <v>461</v>
      </c>
      <c r="C99" s="258" t="s">
        <v>333</v>
      </c>
      <c r="D99" s="251">
        <f>E99</f>
        <v>334609</v>
      </c>
      <c r="E99" s="252">
        <v>334609</v>
      </c>
      <c r="G99" s="245"/>
      <c r="H99" s="245"/>
      <c r="I99" s="245"/>
      <c r="J99" s="245"/>
      <c r="K99" s="245"/>
      <c r="L99" s="245"/>
      <c r="M99" s="245"/>
      <c r="N99" s="245"/>
      <c r="O99" s="245"/>
    </row>
    <row r="100" spans="1:15" s="244" customFormat="1" x14ac:dyDescent="0.25">
      <c r="A100" s="248" t="s">
        <v>462</v>
      </c>
      <c r="B100" s="249" t="s">
        <v>463</v>
      </c>
      <c r="C100" s="258" t="s">
        <v>333</v>
      </c>
      <c r="D100" s="251">
        <f>1905*12</f>
        <v>22860</v>
      </c>
      <c r="E100" s="252">
        <v>22860</v>
      </c>
      <c r="G100" s="245"/>
      <c r="H100" s="245"/>
      <c r="I100" s="245"/>
      <c r="J100" s="245"/>
      <c r="K100" s="245"/>
      <c r="L100" s="245"/>
      <c r="M100" s="245"/>
      <c r="N100" s="245"/>
      <c r="O100" s="245"/>
    </row>
    <row r="101" spans="1:15" s="244" customFormat="1" ht="26.4" x14ac:dyDescent="0.25">
      <c r="A101" s="248" t="s">
        <v>941</v>
      </c>
      <c r="B101" s="253" t="s">
        <v>942</v>
      </c>
      <c r="C101" s="288" t="s">
        <v>943</v>
      </c>
      <c r="D101" s="251">
        <f>7250000*1.27</f>
        <v>9207500</v>
      </c>
      <c r="E101" s="252">
        <v>0</v>
      </c>
      <c r="G101" s="245"/>
      <c r="H101" s="245"/>
      <c r="I101" s="245"/>
      <c r="J101" s="245"/>
      <c r="K101" s="245"/>
      <c r="L101" s="245"/>
      <c r="M101" s="245"/>
      <c r="N101" s="245"/>
      <c r="O101" s="245"/>
    </row>
    <row r="102" spans="1:15" s="244" customFormat="1" ht="26.4" x14ac:dyDescent="0.25">
      <c r="A102" s="248" t="s">
        <v>464</v>
      </c>
      <c r="B102" s="144" t="s">
        <v>944</v>
      </c>
      <c r="C102" s="250" t="s">
        <v>333</v>
      </c>
      <c r="D102" s="251">
        <f>(1250000*1.27)*2</f>
        <v>3175000</v>
      </c>
      <c r="E102" s="252">
        <v>0</v>
      </c>
      <c r="G102" s="245"/>
      <c r="K102" s="245"/>
      <c r="L102" s="245"/>
      <c r="M102" s="245"/>
      <c r="N102" s="245"/>
      <c r="O102" s="245"/>
    </row>
    <row r="103" spans="1:15" s="244" customFormat="1" x14ac:dyDescent="0.25">
      <c r="A103" s="275" t="s">
        <v>688</v>
      </c>
      <c r="B103" s="246" t="s">
        <v>945</v>
      </c>
      <c r="C103" s="250" t="s">
        <v>333</v>
      </c>
      <c r="D103" s="251">
        <f>E103</f>
        <v>1277037</v>
      </c>
      <c r="E103" s="252">
        <f>1120575+156462</f>
        <v>1277037</v>
      </c>
      <c r="F103" s="238"/>
      <c r="G103" s="245"/>
      <c r="H103" s="245"/>
      <c r="I103" s="245"/>
      <c r="J103" s="245"/>
      <c r="K103" s="245"/>
      <c r="L103" s="245"/>
      <c r="M103" s="245"/>
      <c r="N103" s="245"/>
      <c r="O103" s="245"/>
    </row>
    <row r="104" spans="1:15" s="244" customFormat="1" ht="26.4" x14ac:dyDescent="0.25">
      <c r="A104" s="275" t="s">
        <v>689</v>
      </c>
      <c r="B104" s="144" t="s">
        <v>690</v>
      </c>
      <c r="C104" s="250">
        <v>44712</v>
      </c>
      <c r="D104" s="274">
        <f>6*48000</f>
        <v>288000</v>
      </c>
      <c r="E104" s="252">
        <v>690000</v>
      </c>
      <c r="F104" s="289"/>
      <c r="G104" s="245"/>
      <c r="H104" s="245"/>
      <c r="I104" s="245"/>
      <c r="J104" s="245"/>
      <c r="K104" s="245"/>
      <c r="L104" s="245"/>
      <c r="M104" s="245"/>
      <c r="N104" s="245"/>
      <c r="O104" s="245"/>
    </row>
    <row r="105" spans="1:15" s="244" customFormat="1" ht="26.4" x14ac:dyDescent="0.25">
      <c r="A105" s="275" t="s">
        <v>689</v>
      </c>
      <c r="B105" s="144" t="s">
        <v>691</v>
      </c>
      <c r="C105" s="250">
        <v>44804</v>
      </c>
      <c r="D105" s="274">
        <f>64500*9</f>
        <v>580500</v>
      </c>
      <c r="E105" s="252">
        <v>929400</v>
      </c>
      <c r="F105" s="289"/>
      <c r="G105" s="245"/>
      <c r="H105" s="245"/>
      <c r="I105" s="245"/>
      <c r="J105" s="245"/>
      <c r="K105" s="245"/>
      <c r="L105" s="245"/>
      <c r="M105" s="245"/>
      <c r="N105" s="245"/>
      <c r="O105" s="245"/>
    </row>
    <row r="106" spans="1:15" s="244" customFormat="1" ht="26.4" x14ac:dyDescent="0.25">
      <c r="A106" s="275" t="s">
        <v>689</v>
      </c>
      <c r="B106" s="144" t="s">
        <v>692</v>
      </c>
      <c r="C106" s="250">
        <v>44592</v>
      </c>
      <c r="D106" s="274">
        <f>2*101500</f>
        <v>203000</v>
      </c>
      <c r="E106" s="252">
        <v>1464600</v>
      </c>
      <c r="F106" s="289"/>
      <c r="G106" s="245"/>
      <c r="H106" s="245"/>
      <c r="I106" s="245"/>
      <c r="J106" s="245"/>
      <c r="K106" s="245"/>
      <c r="L106" s="245"/>
      <c r="M106" s="245"/>
      <c r="N106" s="245"/>
      <c r="O106" s="245"/>
    </row>
    <row r="107" spans="1:15" s="238" customFormat="1" x14ac:dyDescent="0.25">
      <c r="A107" s="248" t="s">
        <v>693</v>
      </c>
      <c r="B107" s="267" t="s">
        <v>694</v>
      </c>
      <c r="C107" s="250" t="s">
        <v>333</v>
      </c>
      <c r="D107" s="274">
        <f>E107</f>
        <v>290000</v>
      </c>
      <c r="E107" s="252">
        <v>290000</v>
      </c>
      <c r="F107" s="192"/>
      <c r="G107" s="256"/>
      <c r="H107" s="256"/>
      <c r="I107" s="256"/>
      <c r="J107" s="256"/>
      <c r="K107" s="256"/>
      <c r="L107" s="256"/>
      <c r="M107" s="256"/>
      <c r="N107" s="256"/>
      <c r="O107" s="256"/>
    </row>
    <row r="108" spans="1:15" s="238" customFormat="1" ht="26.4" x14ac:dyDescent="0.25">
      <c r="A108" s="248" t="s">
        <v>465</v>
      </c>
      <c r="B108" s="290" t="s">
        <v>695</v>
      </c>
      <c r="C108" s="250" t="s">
        <v>333</v>
      </c>
      <c r="D108" s="251">
        <f>E108</f>
        <v>2988377</v>
      </c>
      <c r="E108" s="252">
        <v>2988377</v>
      </c>
      <c r="G108" s="256"/>
      <c r="H108" s="256"/>
      <c r="I108" s="256"/>
      <c r="J108" s="256"/>
      <c r="K108" s="256"/>
      <c r="L108" s="256"/>
      <c r="M108" s="256"/>
      <c r="N108" s="256"/>
      <c r="O108" s="256"/>
    </row>
    <row r="109" spans="1:15" s="238" customFormat="1" x14ac:dyDescent="0.25">
      <c r="A109" s="248" t="s">
        <v>466</v>
      </c>
      <c r="B109" s="267" t="s">
        <v>467</v>
      </c>
      <c r="C109" s="250" t="s">
        <v>333</v>
      </c>
      <c r="D109" s="251">
        <f>E109</f>
        <v>19344</v>
      </c>
      <c r="E109" s="252">
        <v>19344</v>
      </c>
      <c r="G109" s="256"/>
      <c r="H109" s="256"/>
      <c r="I109" s="256"/>
      <c r="J109" s="256"/>
      <c r="K109" s="256"/>
      <c r="L109" s="256"/>
      <c r="M109" s="256"/>
      <c r="N109" s="256"/>
      <c r="O109" s="256"/>
    </row>
    <row r="110" spans="1:15" s="238" customFormat="1" x14ac:dyDescent="0.25">
      <c r="A110" s="248" t="s">
        <v>466</v>
      </c>
      <c r="B110" s="267" t="s">
        <v>468</v>
      </c>
      <c r="C110" s="250" t="s">
        <v>333</v>
      </c>
      <c r="D110" s="251">
        <f>E110*2</f>
        <v>28760</v>
      </c>
      <c r="E110" s="252">
        <v>14380</v>
      </c>
      <c r="G110" s="256"/>
      <c r="H110" s="256"/>
      <c r="I110" s="256"/>
      <c r="J110" s="256"/>
      <c r="K110" s="256"/>
      <c r="L110" s="256"/>
      <c r="M110" s="256"/>
      <c r="N110" s="256"/>
      <c r="O110" s="256"/>
    </row>
    <row r="111" spans="1:15" s="238" customFormat="1" x14ac:dyDescent="0.25">
      <c r="A111" s="275" t="s">
        <v>946</v>
      </c>
      <c r="B111" s="246" t="s">
        <v>947</v>
      </c>
      <c r="C111" s="250" t="s">
        <v>333</v>
      </c>
      <c r="D111" s="251">
        <f>E111*2</f>
        <v>72660</v>
      </c>
      <c r="E111" s="252">
        <v>36330</v>
      </c>
      <c r="G111" s="256"/>
      <c r="H111" s="256"/>
      <c r="I111" s="256"/>
      <c r="J111" s="256"/>
      <c r="K111" s="256"/>
      <c r="L111" s="256"/>
      <c r="M111" s="256"/>
      <c r="N111" s="256"/>
      <c r="O111" s="256"/>
    </row>
    <row r="112" spans="1:15" s="244" customFormat="1" x14ac:dyDescent="0.25">
      <c r="A112" s="248" t="s">
        <v>696</v>
      </c>
      <c r="B112" s="246" t="s">
        <v>697</v>
      </c>
      <c r="C112" s="250" t="s">
        <v>333</v>
      </c>
      <c r="D112" s="251">
        <f>E112</f>
        <v>812542</v>
      </c>
      <c r="E112" s="252">
        <v>812542</v>
      </c>
      <c r="G112" s="245"/>
      <c r="H112" s="245"/>
      <c r="I112" s="245"/>
      <c r="J112" s="245"/>
      <c r="K112" s="245"/>
      <c r="L112" s="245"/>
      <c r="M112" s="245"/>
      <c r="N112" s="245"/>
      <c r="O112" s="245"/>
    </row>
    <row r="113" spans="1:15" s="244" customFormat="1" ht="26.4" x14ac:dyDescent="0.25">
      <c r="A113" s="248" t="s">
        <v>948</v>
      </c>
      <c r="B113" s="144" t="s">
        <v>949</v>
      </c>
      <c r="C113" s="250">
        <v>44834</v>
      </c>
      <c r="D113" s="251">
        <f>125000*9</f>
        <v>1125000</v>
      </c>
      <c r="E113" s="252">
        <v>312500</v>
      </c>
      <c r="G113" s="245"/>
      <c r="H113" s="245"/>
      <c r="I113" s="245"/>
      <c r="J113" s="245"/>
      <c r="K113" s="245"/>
      <c r="L113" s="245"/>
      <c r="M113" s="245"/>
      <c r="N113" s="245"/>
      <c r="O113" s="245"/>
    </row>
    <row r="114" spans="1:15" s="244" customFormat="1" x14ac:dyDescent="0.25">
      <c r="A114" s="248" t="s">
        <v>470</v>
      </c>
      <c r="B114" s="246" t="s">
        <v>698</v>
      </c>
      <c r="C114" s="250">
        <v>44749</v>
      </c>
      <c r="D114" s="251">
        <f>E114/2</f>
        <v>87300</v>
      </c>
      <c r="E114" s="252">
        <v>174600</v>
      </c>
      <c r="G114" s="245"/>
      <c r="H114" s="245"/>
      <c r="I114" s="245"/>
      <c r="J114" s="245"/>
      <c r="K114" s="245"/>
      <c r="L114" s="245"/>
      <c r="M114" s="245"/>
      <c r="N114" s="245"/>
      <c r="O114" s="245"/>
    </row>
    <row r="115" spans="1:15" s="244" customFormat="1" x14ac:dyDescent="0.25">
      <c r="A115" s="248" t="s">
        <v>699</v>
      </c>
      <c r="B115" s="267" t="s">
        <v>700</v>
      </c>
      <c r="C115" s="250">
        <v>44749</v>
      </c>
      <c r="D115" s="251">
        <f>E115/2</f>
        <v>57500</v>
      </c>
      <c r="E115" s="252">
        <v>115000</v>
      </c>
      <c r="G115" s="245"/>
      <c r="H115" s="245"/>
      <c r="I115" s="245"/>
      <c r="J115" s="245"/>
      <c r="K115" s="245"/>
      <c r="L115" s="245"/>
      <c r="M115" s="245"/>
      <c r="N115" s="245"/>
      <c r="O115" s="245"/>
    </row>
    <row r="116" spans="1:15" s="244" customFormat="1" ht="26.4" x14ac:dyDescent="0.25">
      <c r="A116" s="248" t="s">
        <v>950</v>
      </c>
      <c r="B116" s="290" t="s">
        <v>951</v>
      </c>
      <c r="C116" s="250">
        <v>44364</v>
      </c>
      <c r="D116" s="251">
        <v>760000</v>
      </c>
      <c r="E116" s="252">
        <v>0</v>
      </c>
      <c r="G116" s="245"/>
      <c r="H116" s="245"/>
      <c r="I116" s="245"/>
      <c r="J116" s="245"/>
      <c r="K116" s="245"/>
      <c r="L116" s="245"/>
      <c r="M116" s="245"/>
      <c r="N116" s="245"/>
      <c r="O116" s="245"/>
    </row>
    <row r="117" spans="1:15" s="244" customFormat="1" ht="13.8" x14ac:dyDescent="0.3">
      <c r="A117" s="248" t="s">
        <v>469</v>
      </c>
      <c r="B117" s="267" t="s">
        <v>417</v>
      </c>
      <c r="C117" s="250" t="s">
        <v>333</v>
      </c>
      <c r="D117" s="251">
        <f>E117</f>
        <v>90071</v>
      </c>
      <c r="E117" s="252">
        <v>90071</v>
      </c>
      <c r="G117" s="245"/>
      <c r="H117" s="245"/>
      <c r="I117" s="270"/>
      <c r="J117" s="245"/>
      <c r="K117" s="245"/>
      <c r="L117" s="245"/>
      <c r="M117" s="245"/>
      <c r="N117" s="245"/>
      <c r="O117" s="245"/>
    </row>
    <row r="118" spans="1:15" s="244" customFormat="1" x14ac:dyDescent="0.25">
      <c r="A118" s="266" t="s">
        <v>471</v>
      </c>
      <c r="B118" s="285" t="s">
        <v>472</v>
      </c>
      <c r="C118" s="212">
        <v>44469</v>
      </c>
      <c r="D118" s="251">
        <v>0</v>
      </c>
      <c r="E118" s="273">
        <v>66303114</v>
      </c>
      <c r="G118" s="245"/>
      <c r="H118" s="245"/>
      <c r="I118" s="245"/>
      <c r="J118" s="245"/>
      <c r="K118" s="245"/>
      <c r="L118" s="245"/>
      <c r="M118" s="245"/>
      <c r="N118" s="245"/>
      <c r="O118" s="245"/>
    </row>
    <row r="119" spans="1:15" s="238" customFormat="1" ht="26.4" x14ac:dyDescent="0.25">
      <c r="A119" s="266" t="s">
        <v>541</v>
      </c>
      <c r="B119" s="285" t="s">
        <v>542</v>
      </c>
      <c r="C119" s="283" t="s">
        <v>543</v>
      </c>
      <c r="D119" s="251">
        <v>701250</v>
      </c>
      <c r="E119" s="273">
        <v>0</v>
      </c>
      <c r="G119" s="256"/>
      <c r="H119" s="256"/>
      <c r="I119" s="256"/>
      <c r="J119" s="256"/>
      <c r="K119" s="256"/>
      <c r="L119" s="256"/>
      <c r="M119" s="256"/>
      <c r="N119" s="256"/>
      <c r="O119" s="256"/>
    </row>
    <row r="120" spans="1:15" s="238" customFormat="1" x14ac:dyDescent="0.25">
      <c r="A120" s="266" t="s">
        <v>541</v>
      </c>
      <c r="B120" s="285" t="s">
        <v>544</v>
      </c>
      <c r="C120" s="283" t="s">
        <v>545</v>
      </c>
      <c r="D120" s="251">
        <v>583565</v>
      </c>
      <c r="E120" s="273">
        <v>1529080</v>
      </c>
      <c r="G120" s="256"/>
      <c r="H120" s="256"/>
      <c r="I120" s="256"/>
      <c r="J120" s="256"/>
      <c r="K120" s="256"/>
      <c r="L120" s="256"/>
      <c r="M120" s="256"/>
      <c r="N120" s="256"/>
      <c r="O120" s="256"/>
    </row>
    <row r="121" spans="1:15" s="238" customFormat="1" x14ac:dyDescent="0.25">
      <c r="A121" s="266" t="s">
        <v>952</v>
      </c>
      <c r="B121" s="285" t="s">
        <v>953</v>
      </c>
      <c r="C121" s="283">
        <v>44704</v>
      </c>
      <c r="D121" s="251">
        <f>36205735-E121</f>
        <v>28964587</v>
      </c>
      <c r="E121" s="273">
        <v>7241148</v>
      </c>
      <c r="G121" s="256"/>
      <c r="H121" s="256"/>
      <c r="I121" s="256"/>
      <c r="J121" s="256"/>
      <c r="K121" s="256"/>
      <c r="L121" s="256"/>
      <c r="M121" s="256"/>
      <c r="N121" s="256"/>
      <c r="O121" s="256"/>
    </row>
    <row r="122" spans="1:15" s="238" customFormat="1" x14ac:dyDescent="0.25">
      <c r="A122" s="266" t="s">
        <v>952</v>
      </c>
      <c r="B122" s="285" t="s">
        <v>954</v>
      </c>
      <c r="C122" s="283">
        <v>44704</v>
      </c>
      <c r="D122" s="251">
        <f>64827032-E122</f>
        <v>51861626</v>
      </c>
      <c r="E122" s="273">
        <v>12965406</v>
      </c>
      <c r="G122" s="256"/>
      <c r="H122" s="256"/>
      <c r="I122" s="256"/>
      <c r="J122" s="256"/>
      <c r="K122" s="256"/>
      <c r="L122" s="256"/>
      <c r="M122" s="256"/>
      <c r="N122" s="256"/>
      <c r="O122" s="256"/>
    </row>
    <row r="123" spans="1:15" s="238" customFormat="1" x14ac:dyDescent="0.25">
      <c r="A123" s="266" t="s">
        <v>546</v>
      </c>
      <c r="B123" s="285" t="s">
        <v>701</v>
      </c>
      <c r="C123" s="212"/>
      <c r="D123" s="251">
        <v>13555340</v>
      </c>
      <c r="E123" s="273">
        <v>0</v>
      </c>
      <c r="G123" s="256"/>
      <c r="H123" s="256"/>
      <c r="I123" s="256"/>
      <c r="J123" s="256"/>
      <c r="K123" s="256"/>
      <c r="L123" s="256"/>
      <c r="M123" s="256"/>
      <c r="N123" s="256"/>
      <c r="O123" s="256"/>
    </row>
    <row r="124" spans="1:15" s="238" customFormat="1" ht="26.4" x14ac:dyDescent="0.25">
      <c r="A124" s="266" t="s">
        <v>473</v>
      </c>
      <c r="B124" s="279" t="s">
        <v>547</v>
      </c>
      <c r="C124" s="212" t="s">
        <v>529</v>
      </c>
      <c r="D124" s="251">
        <v>368300</v>
      </c>
      <c r="E124" s="273">
        <v>0</v>
      </c>
      <c r="G124" s="256"/>
      <c r="H124" s="256"/>
      <c r="I124" s="256"/>
      <c r="J124" s="256"/>
      <c r="K124" s="256"/>
      <c r="L124" s="256"/>
      <c r="M124" s="256"/>
      <c r="N124" s="256"/>
      <c r="O124" s="256"/>
    </row>
    <row r="125" spans="1:15" s="238" customFormat="1" ht="26.4" x14ac:dyDescent="0.25">
      <c r="A125" s="266" t="s">
        <v>473</v>
      </c>
      <c r="B125" s="279" t="s">
        <v>548</v>
      </c>
      <c r="C125" s="212" t="s">
        <v>529</v>
      </c>
      <c r="D125" s="251">
        <f>200000*1.27</f>
        <v>254000</v>
      </c>
      <c r="E125" s="273">
        <v>0</v>
      </c>
      <c r="G125" s="256"/>
      <c r="H125" s="256"/>
      <c r="I125" s="256"/>
      <c r="J125" s="256"/>
      <c r="K125" s="256"/>
      <c r="L125" s="256"/>
      <c r="M125" s="256"/>
      <c r="N125" s="256"/>
      <c r="O125" s="256"/>
    </row>
    <row r="126" spans="1:15" s="244" customFormat="1" x14ac:dyDescent="0.25">
      <c r="A126" s="280" t="s">
        <v>955</v>
      </c>
      <c r="B126" s="246" t="s">
        <v>956</v>
      </c>
      <c r="C126" s="212">
        <v>44495</v>
      </c>
      <c r="D126" s="251">
        <f>12564314-E126</f>
        <v>10215740</v>
      </c>
      <c r="E126" s="273">
        <v>2348574</v>
      </c>
      <c r="G126" s="245"/>
      <c r="H126" s="245"/>
      <c r="I126" s="245"/>
      <c r="J126" s="245"/>
      <c r="K126" s="245"/>
      <c r="L126" s="245"/>
      <c r="M126" s="245"/>
      <c r="N126" s="245"/>
      <c r="O126" s="245"/>
    </row>
    <row r="127" spans="1:15" s="244" customFormat="1" x14ac:dyDescent="0.25">
      <c r="A127" s="280" t="s">
        <v>955</v>
      </c>
      <c r="B127" s="246" t="s">
        <v>957</v>
      </c>
      <c r="C127" s="212">
        <v>44495</v>
      </c>
      <c r="D127" s="251">
        <f>41617688-E127</f>
        <v>29995207</v>
      </c>
      <c r="E127" s="273">
        <v>11622481</v>
      </c>
      <c r="G127" s="245"/>
      <c r="H127" s="245"/>
      <c r="I127" s="245"/>
      <c r="J127" s="245"/>
      <c r="K127" s="245"/>
      <c r="L127" s="245"/>
      <c r="M127" s="245"/>
      <c r="N127" s="245"/>
      <c r="O127" s="245"/>
    </row>
    <row r="128" spans="1:15" s="244" customFormat="1" x14ac:dyDescent="0.25">
      <c r="A128" s="280" t="s">
        <v>955</v>
      </c>
      <c r="B128" s="246" t="s">
        <v>958</v>
      </c>
      <c r="C128" s="212">
        <v>44495</v>
      </c>
      <c r="D128" s="251">
        <f>18258356-E128</f>
        <v>14882583</v>
      </c>
      <c r="E128" s="273">
        <v>3375773</v>
      </c>
      <c r="G128" s="245"/>
      <c r="H128" s="245"/>
      <c r="I128" s="245"/>
      <c r="J128" s="245"/>
      <c r="K128" s="245"/>
      <c r="L128" s="245"/>
      <c r="M128" s="245"/>
      <c r="N128" s="245"/>
      <c r="O128" s="245"/>
    </row>
    <row r="129" spans="1:15" s="244" customFormat="1" ht="26.4" x14ac:dyDescent="0.25">
      <c r="A129" s="291" t="s">
        <v>959</v>
      </c>
      <c r="B129" s="202" t="s">
        <v>960</v>
      </c>
      <c r="C129" s="212" t="s">
        <v>333</v>
      </c>
      <c r="D129" s="251">
        <f>E129*12</f>
        <v>235200</v>
      </c>
      <c r="E129" s="273">
        <v>19600</v>
      </c>
      <c r="G129" s="245"/>
      <c r="H129" s="245"/>
      <c r="I129" s="245"/>
      <c r="J129" s="245"/>
      <c r="K129" s="245"/>
      <c r="L129" s="245"/>
      <c r="M129" s="245"/>
      <c r="N129" s="245"/>
      <c r="O129" s="245"/>
    </row>
    <row r="130" spans="1:15" s="244" customFormat="1" ht="26.4" x14ac:dyDescent="0.25">
      <c r="A130" s="282" t="s">
        <v>474</v>
      </c>
      <c r="B130" s="279" t="s">
        <v>961</v>
      </c>
      <c r="C130" s="212" t="s">
        <v>333</v>
      </c>
      <c r="D130" s="284">
        <f>E130*12</f>
        <v>1008000</v>
      </c>
      <c r="E130" s="272">
        <v>84000</v>
      </c>
      <c r="G130" s="245"/>
      <c r="H130" s="245"/>
      <c r="I130" s="245"/>
      <c r="J130" s="245"/>
      <c r="K130" s="245"/>
      <c r="L130" s="245"/>
      <c r="M130" s="245"/>
      <c r="N130" s="245"/>
      <c r="O130" s="245"/>
    </row>
    <row r="131" spans="1:15" s="244" customFormat="1" x14ac:dyDescent="0.25">
      <c r="A131" s="282" t="s">
        <v>549</v>
      </c>
      <c r="B131" s="285" t="s">
        <v>702</v>
      </c>
      <c r="C131" s="212" t="s">
        <v>333</v>
      </c>
      <c r="D131" s="284">
        <f>E131</f>
        <v>60160</v>
      </c>
      <c r="E131" s="272">
        <v>60160</v>
      </c>
      <c r="G131" s="245"/>
      <c r="H131" s="245"/>
      <c r="I131" s="245"/>
      <c r="J131" s="245"/>
      <c r="K131" s="245"/>
      <c r="L131" s="245"/>
      <c r="M131" s="245"/>
      <c r="N131" s="245"/>
      <c r="O131" s="245"/>
    </row>
    <row r="132" spans="1:15" s="244" customFormat="1" x14ac:dyDescent="0.25">
      <c r="A132" s="247" t="s">
        <v>962</v>
      </c>
      <c r="B132" s="202" t="s">
        <v>963</v>
      </c>
      <c r="C132" s="212" t="s">
        <v>333</v>
      </c>
      <c r="D132" s="284">
        <f>E132*2</f>
        <v>1505424</v>
      </c>
      <c r="E132" s="272">
        <v>752712</v>
      </c>
      <c r="G132" s="245"/>
      <c r="H132" s="245"/>
      <c r="I132" s="245"/>
      <c r="J132" s="245"/>
      <c r="K132" s="245"/>
      <c r="L132" s="245"/>
      <c r="M132" s="245"/>
      <c r="N132" s="245"/>
      <c r="O132" s="245"/>
    </row>
    <row r="133" spans="1:15" s="238" customFormat="1" ht="26.4" x14ac:dyDescent="0.25">
      <c r="A133" s="282" t="s">
        <v>475</v>
      </c>
      <c r="B133" s="279" t="s">
        <v>964</v>
      </c>
      <c r="C133" s="212"/>
      <c r="D133" s="284">
        <f>E133</f>
        <v>733625</v>
      </c>
      <c r="E133" s="272">
        <v>733625</v>
      </c>
      <c r="G133" s="256"/>
      <c r="H133" s="256"/>
      <c r="I133" s="256"/>
      <c r="J133" s="256"/>
      <c r="K133" s="256"/>
      <c r="L133" s="256"/>
      <c r="M133" s="256"/>
      <c r="N133" s="256"/>
      <c r="O133" s="256"/>
    </row>
    <row r="134" spans="1:15" s="238" customFormat="1" x14ac:dyDescent="0.25">
      <c r="A134" s="282" t="s">
        <v>475</v>
      </c>
      <c r="B134" s="285" t="s">
        <v>476</v>
      </c>
      <c r="C134" s="212">
        <v>43874</v>
      </c>
      <c r="D134" s="284">
        <f>E134</f>
        <v>474010</v>
      </c>
      <c r="E134" s="272">
        <v>474010</v>
      </c>
      <c r="G134" s="256"/>
      <c r="H134" s="256"/>
      <c r="I134" s="256"/>
      <c r="J134" s="256"/>
      <c r="K134" s="256"/>
      <c r="L134" s="256"/>
      <c r="M134" s="256"/>
      <c r="N134" s="256"/>
      <c r="O134" s="256"/>
    </row>
    <row r="135" spans="1:15" s="238" customFormat="1" x14ac:dyDescent="0.25">
      <c r="A135" s="282" t="s">
        <v>965</v>
      </c>
      <c r="B135" s="285" t="s">
        <v>472</v>
      </c>
      <c r="C135" s="212">
        <v>46295</v>
      </c>
      <c r="D135" s="284">
        <f>72000000</f>
        <v>72000000</v>
      </c>
      <c r="E135" s="272">
        <v>15380660</v>
      </c>
      <c r="G135" s="256"/>
      <c r="H135" s="256"/>
      <c r="I135" s="256"/>
      <c r="J135" s="256"/>
      <c r="K135" s="256"/>
      <c r="L135" s="256"/>
      <c r="M135" s="256"/>
      <c r="N135" s="256"/>
      <c r="O135" s="256"/>
    </row>
    <row r="136" spans="1:15" s="238" customFormat="1" x14ac:dyDescent="0.25">
      <c r="A136" s="247" t="s">
        <v>966</v>
      </c>
      <c r="B136" s="246" t="s">
        <v>967</v>
      </c>
      <c r="C136" s="250">
        <v>44926</v>
      </c>
      <c r="D136" s="284">
        <f>300000*12</f>
        <v>3600000</v>
      </c>
      <c r="E136" s="272">
        <v>3600000</v>
      </c>
      <c r="G136" s="256"/>
      <c r="H136" s="256"/>
      <c r="I136" s="256"/>
      <c r="J136" s="256"/>
      <c r="K136" s="256"/>
      <c r="L136" s="256"/>
      <c r="M136" s="256"/>
      <c r="N136" s="256"/>
      <c r="O136" s="256"/>
    </row>
    <row r="137" spans="1:15" s="238" customFormat="1" x14ac:dyDescent="0.25">
      <c r="A137" s="282" t="s">
        <v>968</v>
      </c>
      <c r="B137" s="285" t="s">
        <v>969</v>
      </c>
      <c r="C137" s="212" t="s">
        <v>333</v>
      </c>
      <c r="D137" s="284">
        <f>E137</f>
        <v>173880</v>
      </c>
      <c r="E137" s="272">
        <v>173880</v>
      </c>
      <c r="G137" s="256"/>
      <c r="H137" s="256"/>
      <c r="I137" s="256"/>
      <c r="J137" s="256"/>
      <c r="K137" s="256"/>
      <c r="L137" s="256"/>
      <c r="M137" s="256"/>
      <c r="N137" s="256"/>
      <c r="O137" s="256"/>
    </row>
    <row r="138" spans="1:15" s="244" customFormat="1" x14ac:dyDescent="0.25">
      <c r="A138" s="282" t="s">
        <v>550</v>
      </c>
      <c r="B138" s="285" t="s">
        <v>551</v>
      </c>
      <c r="C138" s="212" t="s">
        <v>333</v>
      </c>
      <c r="D138" s="284">
        <f>E138</f>
        <v>23100</v>
      </c>
      <c r="E138" s="272">
        <v>23100</v>
      </c>
      <c r="G138" s="245"/>
      <c r="H138" s="245"/>
      <c r="I138" s="245"/>
      <c r="J138" s="245"/>
      <c r="K138" s="245"/>
      <c r="L138" s="245"/>
      <c r="M138" s="245"/>
      <c r="N138" s="245"/>
      <c r="O138" s="245"/>
    </row>
    <row r="139" spans="1:15" s="244" customFormat="1" ht="26.4" x14ac:dyDescent="0.25">
      <c r="A139" s="261" t="s">
        <v>970</v>
      </c>
      <c r="B139" s="292" t="s">
        <v>971</v>
      </c>
      <c r="C139" s="293" t="s">
        <v>333</v>
      </c>
      <c r="D139" s="251">
        <f>E139</f>
        <v>346400</v>
      </c>
      <c r="E139" s="252">
        <f>270570+75830</f>
        <v>346400</v>
      </c>
      <c r="F139" s="238"/>
      <c r="G139" s="245"/>
      <c r="H139" s="245"/>
      <c r="I139" s="245"/>
      <c r="J139" s="245"/>
      <c r="K139" s="245"/>
      <c r="L139" s="245"/>
      <c r="M139" s="245"/>
      <c r="N139" s="245"/>
      <c r="O139" s="245"/>
    </row>
    <row r="140" spans="1:15" s="244" customFormat="1" x14ac:dyDescent="0.25">
      <c r="A140" s="282" t="s">
        <v>477</v>
      </c>
      <c r="B140" s="285" t="s">
        <v>972</v>
      </c>
      <c r="C140" s="212" t="s">
        <v>333</v>
      </c>
      <c r="D140" s="284">
        <f>41665*12</f>
        <v>499980</v>
      </c>
      <c r="E140" s="272">
        <v>499980</v>
      </c>
      <c r="G140" s="245"/>
      <c r="H140" s="245"/>
      <c r="I140" s="245"/>
      <c r="J140" s="245"/>
      <c r="K140" s="245"/>
      <c r="L140" s="245"/>
      <c r="M140" s="245"/>
      <c r="N140" s="245"/>
      <c r="O140" s="245"/>
    </row>
    <row r="141" spans="1:15" s="244" customFormat="1" ht="26.4" x14ac:dyDescent="0.25">
      <c r="A141" s="282" t="s">
        <v>973</v>
      </c>
      <c r="B141" s="279" t="s">
        <v>974</v>
      </c>
      <c r="C141" s="212">
        <v>44678</v>
      </c>
      <c r="D141" s="284">
        <v>5461000</v>
      </c>
      <c r="E141" s="272">
        <v>0</v>
      </c>
      <c r="G141" s="245"/>
      <c r="H141" s="245"/>
      <c r="I141" s="245"/>
      <c r="J141" s="245"/>
      <c r="K141" s="245"/>
      <c r="L141" s="245"/>
      <c r="M141" s="245"/>
      <c r="N141" s="245"/>
      <c r="O141" s="245"/>
    </row>
    <row r="142" spans="1:15" s="244" customFormat="1" ht="26.4" x14ac:dyDescent="0.25">
      <c r="A142" s="282" t="s">
        <v>973</v>
      </c>
      <c r="B142" s="279" t="s">
        <v>975</v>
      </c>
      <c r="C142" s="212">
        <v>44678</v>
      </c>
      <c r="D142" s="284">
        <v>6604000</v>
      </c>
      <c r="E142" s="272">
        <v>0</v>
      </c>
      <c r="G142" s="245"/>
      <c r="H142" s="245"/>
      <c r="I142" s="245"/>
      <c r="J142" s="245"/>
      <c r="K142" s="245"/>
      <c r="L142" s="245"/>
      <c r="M142" s="245"/>
      <c r="N142" s="245"/>
      <c r="O142" s="245"/>
    </row>
    <row r="143" spans="1:15" s="244" customFormat="1" ht="26.4" x14ac:dyDescent="0.25">
      <c r="A143" s="282" t="s">
        <v>973</v>
      </c>
      <c r="B143" s="279" t="s">
        <v>976</v>
      </c>
      <c r="C143" s="212">
        <v>44678</v>
      </c>
      <c r="D143" s="284">
        <v>8890000</v>
      </c>
      <c r="E143" s="272">
        <v>0</v>
      </c>
      <c r="G143" s="245"/>
      <c r="H143" s="245"/>
      <c r="I143" s="245"/>
      <c r="J143" s="245"/>
      <c r="K143" s="245"/>
      <c r="L143" s="245"/>
      <c r="M143" s="245"/>
      <c r="N143" s="245"/>
      <c r="O143" s="245"/>
    </row>
    <row r="144" spans="1:15" s="244" customFormat="1" x14ac:dyDescent="0.25">
      <c r="A144" s="282" t="s">
        <v>478</v>
      </c>
      <c r="B144" s="285" t="s">
        <v>203</v>
      </c>
      <c r="C144" s="286"/>
      <c r="D144" s="284">
        <v>1930000</v>
      </c>
      <c r="E144" s="272">
        <v>7314353</v>
      </c>
      <c r="G144" s="245"/>
      <c r="H144" s="245"/>
      <c r="I144" s="245"/>
      <c r="J144" s="245"/>
      <c r="K144" s="245"/>
      <c r="L144" s="245"/>
      <c r="M144" s="245"/>
      <c r="N144" s="245"/>
      <c r="O144" s="245"/>
    </row>
    <row r="145" spans="1:15" s="244" customFormat="1" x14ac:dyDescent="0.25">
      <c r="A145" s="261" t="s">
        <v>703</v>
      </c>
      <c r="B145" s="246" t="s">
        <v>479</v>
      </c>
      <c r="C145" s="250">
        <v>44923</v>
      </c>
      <c r="D145" s="251">
        <f>E145</f>
        <v>2718142</v>
      </c>
      <c r="E145" s="273">
        <v>2718142</v>
      </c>
      <c r="G145" s="245"/>
      <c r="H145" s="245"/>
      <c r="I145" s="245"/>
      <c r="J145" s="245"/>
      <c r="K145" s="245"/>
      <c r="L145" s="245"/>
      <c r="M145" s="245"/>
      <c r="N145" s="245"/>
      <c r="O145" s="245"/>
    </row>
    <row r="146" spans="1:15" s="244" customFormat="1" x14ac:dyDescent="0.25">
      <c r="A146" s="248" t="s">
        <v>480</v>
      </c>
      <c r="B146" s="249" t="s">
        <v>481</v>
      </c>
      <c r="C146" s="250" t="s">
        <v>333</v>
      </c>
      <c r="D146" s="251">
        <f>2008837*12</f>
        <v>24106044</v>
      </c>
      <c r="E146" s="252">
        <v>24106044</v>
      </c>
      <c r="G146" s="245"/>
      <c r="H146" s="245"/>
      <c r="I146" s="245"/>
      <c r="J146" s="245"/>
      <c r="K146" s="245"/>
      <c r="L146" s="245"/>
      <c r="M146" s="245"/>
      <c r="N146" s="245"/>
      <c r="O146" s="245"/>
    </row>
    <row r="147" spans="1:15" s="244" customFormat="1" ht="26.4" x14ac:dyDescent="0.25">
      <c r="A147" s="248" t="s">
        <v>977</v>
      </c>
      <c r="B147" s="146" t="s">
        <v>978</v>
      </c>
      <c r="C147" s="250"/>
      <c r="D147" s="251">
        <v>100000</v>
      </c>
      <c r="E147" s="252">
        <v>1600000</v>
      </c>
      <c r="G147" s="245"/>
      <c r="H147" s="245"/>
      <c r="I147" s="245"/>
      <c r="J147" s="245"/>
      <c r="K147" s="245"/>
      <c r="L147" s="245"/>
      <c r="M147" s="245"/>
      <c r="N147" s="245"/>
      <c r="O147" s="245"/>
    </row>
    <row r="148" spans="1:15" s="244" customFormat="1" ht="26.4" x14ac:dyDescent="0.25">
      <c r="A148" s="248" t="s">
        <v>704</v>
      </c>
      <c r="B148" s="253" t="s">
        <v>676</v>
      </c>
      <c r="C148" s="250">
        <v>44926</v>
      </c>
      <c r="D148" s="251">
        <f>200000*1+250000*11</f>
        <v>2950000</v>
      </c>
      <c r="E148" s="252">
        <v>2700000</v>
      </c>
      <c r="G148" s="245"/>
      <c r="H148" s="245"/>
      <c r="I148" s="245"/>
      <c r="J148" s="245"/>
      <c r="K148" s="245"/>
      <c r="L148" s="245"/>
      <c r="M148" s="245"/>
      <c r="N148" s="245"/>
      <c r="O148" s="245"/>
    </row>
    <row r="149" spans="1:15" s="244" customFormat="1" x14ac:dyDescent="0.25">
      <c r="A149" s="248" t="s">
        <v>979</v>
      </c>
      <c r="B149" s="253" t="s">
        <v>980</v>
      </c>
      <c r="C149" s="250">
        <v>44634</v>
      </c>
      <c r="D149" s="251">
        <f>1200000*1.27</f>
        <v>1524000</v>
      </c>
      <c r="E149" s="252">
        <v>0</v>
      </c>
      <c r="G149" s="245"/>
      <c r="H149" s="245"/>
      <c r="I149" s="245"/>
      <c r="J149" s="245"/>
      <c r="K149" s="245"/>
      <c r="L149" s="245"/>
      <c r="M149" s="245"/>
      <c r="N149" s="245"/>
      <c r="O149" s="245"/>
    </row>
    <row r="150" spans="1:15" s="244" customFormat="1" x14ac:dyDescent="0.25">
      <c r="A150" s="248" t="s">
        <v>482</v>
      </c>
      <c r="B150" s="249" t="s">
        <v>483</v>
      </c>
      <c r="C150" s="216" t="s">
        <v>333</v>
      </c>
      <c r="D150" s="251">
        <f>(11*15990+20000)+(11*800+1000)</f>
        <v>205690</v>
      </c>
      <c r="E150" s="252">
        <v>225225</v>
      </c>
      <c r="G150" s="245"/>
      <c r="H150" s="245"/>
      <c r="I150" s="245"/>
      <c r="J150" s="245"/>
      <c r="K150" s="245"/>
      <c r="L150" s="245"/>
      <c r="M150" s="245"/>
      <c r="N150" s="245"/>
      <c r="O150" s="245"/>
    </row>
    <row r="151" spans="1:15" s="244" customFormat="1" x14ac:dyDescent="0.25">
      <c r="A151" s="248" t="s">
        <v>482</v>
      </c>
      <c r="B151" s="249" t="s">
        <v>552</v>
      </c>
      <c r="C151" s="216" t="s">
        <v>333</v>
      </c>
      <c r="D151" s="251">
        <f>((3990*1.27)*12)*4</f>
        <v>243230.40000000002</v>
      </c>
      <c r="E151" s="252">
        <f>226405</f>
        <v>226405</v>
      </c>
      <c r="G151" s="245"/>
      <c r="H151" s="245"/>
      <c r="I151" s="245"/>
      <c r="J151" s="245"/>
      <c r="K151" s="245"/>
      <c r="L151" s="245"/>
      <c r="M151" s="245"/>
      <c r="N151" s="245"/>
      <c r="O151" s="245"/>
    </row>
    <row r="152" spans="1:15" ht="13.8" thickBot="1" x14ac:dyDescent="0.3">
      <c r="A152" s="399" t="s">
        <v>24</v>
      </c>
      <c r="B152" s="400"/>
      <c r="C152" s="400"/>
      <c r="D152" s="294">
        <f>SUM(D9:D151)</f>
        <v>2069785548.309</v>
      </c>
      <c r="E152" s="295">
        <f>SUM(E9:E151)</f>
        <v>1043716036</v>
      </c>
      <c r="F152" s="230"/>
      <c r="G152" s="134"/>
      <c r="H152" s="134"/>
      <c r="I152" s="134"/>
      <c r="J152" s="134"/>
      <c r="K152" s="134"/>
      <c r="L152" s="134"/>
      <c r="M152" s="134"/>
      <c r="N152" s="134"/>
      <c r="O152" s="134"/>
    </row>
    <row r="153" spans="1:15" x14ac:dyDescent="0.25">
      <c r="F153" s="230"/>
      <c r="G153" s="134"/>
      <c r="H153" s="134"/>
      <c r="I153" s="134"/>
      <c r="J153" s="134"/>
      <c r="K153" s="134"/>
      <c r="L153" s="134"/>
      <c r="M153" s="134"/>
      <c r="N153" s="134"/>
      <c r="O153" s="134"/>
    </row>
    <row r="154" spans="1:15" x14ac:dyDescent="0.25">
      <c r="G154" s="134"/>
      <c r="H154" s="134"/>
      <c r="I154" s="134"/>
      <c r="J154" s="134"/>
      <c r="K154" s="134"/>
      <c r="L154" s="134"/>
      <c r="M154" s="134"/>
      <c r="N154" s="134"/>
      <c r="O154" s="134"/>
    </row>
    <row r="155" spans="1:15" x14ac:dyDescent="0.25">
      <c r="G155" s="134"/>
      <c r="H155" s="134"/>
      <c r="I155" s="134"/>
      <c r="J155" s="134"/>
      <c r="K155" s="134"/>
      <c r="L155" s="134"/>
      <c r="M155" s="134"/>
      <c r="N155" s="134"/>
      <c r="O155" s="134"/>
    </row>
    <row r="158" spans="1:15" x14ac:dyDescent="0.25">
      <c r="F158" s="134"/>
      <c r="G158" s="134"/>
    </row>
    <row r="159" spans="1:15" x14ac:dyDescent="0.25">
      <c r="F159" s="134"/>
      <c r="G159" s="134"/>
    </row>
    <row r="160" spans="1:15" x14ac:dyDescent="0.25">
      <c r="F160" s="134"/>
      <c r="G160" s="134"/>
    </row>
    <row r="161" spans="4:7" x14ac:dyDescent="0.25">
      <c r="F161" s="134"/>
      <c r="G161" s="134"/>
    </row>
    <row r="162" spans="4:7" x14ac:dyDescent="0.25">
      <c r="F162" s="134"/>
      <c r="G162" s="134"/>
    </row>
    <row r="163" spans="4:7" x14ac:dyDescent="0.25">
      <c r="F163" s="134"/>
      <c r="G163" s="134"/>
    </row>
    <row r="164" spans="4:7" x14ac:dyDescent="0.25">
      <c r="F164" s="134"/>
      <c r="G164" s="134"/>
    </row>
    <row r="165" spans="4:7" x14ac:dyDescent="0.25">
      <c r="F165" s="134"/>
      <c r="G165" s="134"/>
    </row>
    <row r="166" spans="4:7" x14ac:dyDescent="0.25">
      <c r="F166" s="134"/>
      <c r="G166" s="134"/>
    </row>
    <row r="167" spans="4:7" x14ac:dyDescent="0.25">
      <c r="F167" s="134"/>
      <c r="G167" s="134"/>
    </row>
    <row r="168" spans="4:7" x14ac:dyDescent="0.25">
      <c r="F168" s="134"/>
      <c r="G168" s="134"/>
    </row>
    <row r="169" spans="4:7" x14ac:dyDescent="0.25">
      <c r="F169" s="134"/>
      <c r="G169" s="134"/>
    </row>
    <row r="170" spans="4:7" x14ac:dyDescent="0.25">
      <c r="F170" s="134"/>
      <c r="G170" s="134"/>
    </row>
    <row r="171" spans="4:7" x14ac:dyDescent="0.25">
      <c r="F171" s="134"/>
      <c r="G171" s="134"/>
    </row>
    <row r="172" spans="4:7" x14ac:dyDescent="0.25">
      <c r="F172" s="134"/>
      <c r="G172" s="134"/>
    </row>
    <row r="173" spans="4:7" x14ac:dyDescent="0.25">
      <c r="F173" s="134"/>
      <c r="G173" s="145"/>
    </row>
    <row r="174" spans="4:7" x14ac:dyDescent="0.25">
      <c r="D174" s="134"/>
      <c r="F174" s="134"/>
      <c r="G174" s="134"/>
    </row>
    <row r="175" spans="4:7" x14ac:dyDescent="0.25">
      <c r="F175" s="134"/>
      <c r="G175" s="134"/>
    </row>
    <row r="176" spans="4:7" x14ac:dyDescent="0.25">
      <c r="F176" s="134"/>
      <c r="G176" s="134"/>
    </row>
    <row r="177" spans="6:7" x14ac:dyDescent="0.25">
      <c r="F177" s="134"/>
      <c r="G177" s="134"/>
    </row>
    <row r="178" spans="6:7" x14ac:dyDescent="0.25">
      <c r="F178" s="134"/>
      <c r="G178" s="134"/>
    </row>
    <row r="179" spans="6:7" x14ac:dyDescent="0.25">
      <c r="F179" s="134"/>
      <c r="G179" s="134"/>
    </row>
    <row r="180" spans="6:7" x14ac:dyDescent="0.25">
      <c r="F180" s="134"/>
      <c r="G180" s="134"/>
    </row>
    <row r="181" spans="6:7" x14ac:dyDescent="0.25">
      <c r="F181" s="134"/>
      <c r="G181" s="134"/>
    </row>
    <row r="182" spans="6:7" x14ac:dyDescent="0.25">
      <c r="F182" s="134"/>
      <c r="G182" s="134"/>
    </row>
    <row r="183" spans="6:7" x14ac:dyDescent="0.25">
      <c r="F183" s="134"/>
      <c r="G183" s="134"/>
    </row>
    <row r="184" spans="6:7" x14ac:dyDescent="0.25">
      <c r="F184" s="134"/>
      <c r="G184" s="134"/>
    </row>
    <row r="185" spans="6:7" x14ac:dyDescent="0.25">
      <c r="F185" s="134"/>
      <c r="G185" s="134"/>
    </row>
    <row r="186" spans="6:7" x14ac:dyDescent="0.25">
      <c r="F186" s="134"/>
      <c r="G186" s="134"/>
    </row>
    <row r="187" spans="6:7" x14ac:dyDescent="0.25">
      <c r="F187" s="134"/>
      <c r="G187" s="134"/>
    </row>
  </sheetData>
  <mergeCells count="7">
    <mergeCell ref="A152:C152"/>
    <mergeCell ref="A3:E3"/>
    <mergeCell ref="A7:A8"/>
    <mergeCell ref="B7:B8"/>
    <mergeCell ref="C7:C8"/>
    <mergeCell ref="D7:D8"/>
    <mergeCell ref="E7:E8"/>
  </mergeCells>
  <hyperlinks>
    <hyperlink ref="A145" r:id="rId1" display="https://gazd-a-20.asp.lgov.hu/gazd-dombovar/CORE/eur/php/formfull.php?===tMuE2AvATZ9DzM0NwA581HGMFZjxwAl0QMccapyc3pzD2og9ypyOarmS2n9HJou5To1E2ogMlGT5HFsEIDn9xHOEIDV1QMcIJou5Jol9zMzLJLxqwLwOGCxMTAjLGBsA1H3r5n1===" xr:uid="{7018D77A-4396-4BEE-8A9B-E1CD7DAD00FD}"/>
    <hyperlink ref="A91" r:id="rId2" display="https://gazd-b-20.asp.lgov.hu/gazd-dombovar/CORE/eur/php/formfull.php?===NZ1ZTB0HwM9HQZkLwMk81HGMlZ4DQAm0QMccapyc3pzD2og9ypyOarmS2n9HJou5To1E2ogMlGT5HFsEIDn9xHOEIDV1QMcIJou5Jol9zMzNGAwuQA1LJC1NGZ2LJZsA1H9o121===" xr:uid="{19C24690-921A-4B58-8025-ABD2F79AEDDA}"/>
    <hyperlink ref="A35" r:id="rId3" display="https://gazd-b-20.asp.lgov.hu/gazd-dombovar/CORE/eur/php/formfull.php?===NAmH2AyETZ9VQM3HmZ481HGMPZmpQAm0QMccapyc3pzD2og9ypyOarmS2n9HJou5To1E2ogMlGT5HFsEIDn9xHOEIDV1QMcIJou5Jol9zMzDmZyqGMxOGClD2A1ZQBsA1Hn8021===" xr:uid="{29DF4878-FC11-4118-9863-218B3AB66DB1}"/>
  </hyperlinks>
  <pageMargins left="0.70866141732283472" right="0.70866141732283472" top="0.74803149606299213" bottom="0.74803149606299213" header="0.31496062992125984" footer="0.31496062992125984"/>
  <pageSetup paperSize="9" scale="61" fitToHeight="0" orientation="landscape"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12</vt:i4>
      </vt:variant>
    </vt:vector>
  </HeadingPairs>
  <TitlesOfParts>
    <vt:vector size="27" baseType="lpstr">
      <vt:lpstr>1. melléklet</vt:lpstr>
      <vt:lpstr>2. melléklet</vt:lpstr>
      <vt:lpstr>2. m. KÖH részletező</vt:lpstr>
      <vt:lpstr>3. m. létszám</vt:lpstr>
      <vt:lpstr>4. melléklet</vt:lpstr>
      <vt:lpstr>5.melléklet-hitelek</vt:lpstr>
      <vt:lpstr>5. melléklet-kezességv.</vt:lpstr>
      <vt:lpstr>5.melléklet-szerződések-KÖH</vt:lpstr>
      <vt:lpstr>5. melléklet-szerződések-ÖNK</vt:lpstr>
      <vt:lpstr>6. melléklet</vt:lpstr>
      <vt:lpstr>7. melléklet</vt:lpstr>
      <vt:lpstr>8. melléklet</vt:lpstr>
      <vt:lpstr>8. m. int. finanszírozás</vt:lpstr>
      <vt:lpstr>9. melléklet</vt:lpstr>
      <vt:lpstr>10. melléklet</vt:lpstr>
      <vt:lpstr>'2. m. KÖH részletező'!Nyomtatási_cím</vt:lpstr>
      <vt:lpstr>'5. melléklet-szerződések-ÖNK'!Nyomtatási_cím</vt:lpstr>
      <vt:lpstr>'1. melléklet'!Nyomtatási_terület</vt:lpstr>
      <vt:lpstr>'10. melléklet'!Nyomtatási_terület</vt:lpstr>
      <vt:lpstr>'2. m. KÖH részletező'!Nyomtatási_terület</vt:lpstr>
      <vt:lpstr>'2. melléklet'!Nyomtatási_terület</vt:lpstr>
      <vt:lpstr>'4. melléklet'!Nyomtatási_terület</vt:lpstr>
      <vt:lpstr>'5. melléklet-kezességv.'!Nyomtatási_terület</vt:lpstr>
      <vt:lpstr>'5. melléklet-szerződések-ÖNK'!Nyomtatási_terület</vt:lpstr>
      <vt:lpstr>'5.melléklet-szerződések-KÖH'!Nyomtatási_terület</vt:lpstr>
      <vt:lpstr>'6. melléklet'!Nyomtatási_terület</vt:lpstr>
      <vt:lpstr>'8. melléklet'!Nyomtatási_terület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Gábor Viktória</cp:lastModifiedBy>
  <cp:lastPrinted>2022-02-09T08:37:48Z</cp:lastPrinted>
  <dcterms:created xsi:type="dcterms:W3CDTF">2009-01-15T09:14:34Z</dcterms:created>
  <dcterms:modified xsi:type="dcterms:W3CDTF">2022-06-30T13:26:34Z</dcterms:modified>
</cp:coreProperties>
</file>