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T:\Onkormanyzati-iroda\Új struktúra\Testületi gép 2021.02.08\Testület\2023. évi előterjesztések\2023.02.09. rendes\ülés után\Rendeletek\3-2023 ktgvetés 2023\"/>
    </mc:Choice>
  </mc:AlternateContent>
  <xr:revisionPtr revIDLastSave="0" documentId="13_ncr:1_{C1BAC5AC-2EFE-47A7-9EA6-03529CC2AEC1}" xr6:coauthVersionLast="47" xr6:coauthVersionMax="47" xr10:uidLastSave="{00000000-0000-0000-0000-000000000000}"/>
  <bookViews>
    <workbookView xWindow="-108" yWindow="-108" windowWidth="23256" windowHeight="12576" tabRatio="889" firstSheet="7" activeTab="14" xr2:uid="{00000000-000D-0000-FFFF-FFFF00000000}"/>
  </bookViews>
  <sheets>
    <sheet name="1. melléklet" sheetId="280" r:id="rId1"/>
    <sheet name="2. mell. 1. pont" sheetId="277" r:id="rId2"/>
    <sheet name="2. mell. 2. pont" sheetId="257" r:id="rId3"/>
    <sheet name="3. melléklet" sheetId="291" r:id="rId4"/>
    <sheet name="4. melléklet" sheetId="270" r:id="rId5"/>
    <sheet name="5.mell. 1. pont hitelek" sheetId="281" r:id="rId6"/>
    <sheet name="5.mell. 2. pont kezességv." sheetId="282" r:id="rId7"/>
    <sheet name="5.mell. 3. pont szerződések-Önk" sheetId="283" r:id="rId8"/>
    <sheet name="5.mell. 4. pont szerződések-KÖH" sheetId="284" r:id="rId9"/>
    <sheet name="6. melléklet" sheetId="285" r:id="rId10"/>
    <sheet name="7. melléklet" sheetId="286" r:id="rId11"/>
    <sheet name="8. melléklet" sheetId="287" r:id="rId12"/>
    <sheet name="9 melléklet" sheetId="288" r:id="rId13"/>
    <sheet name="10. melléklet" sheetId="289" r:id="rId14"/>
    <sheet name="11. melléklet EU-s" sheetId="290" r:id="rId15"/>
  </sheets>
  <definedNames>
    <definedName name="_xlnm.Print_Titles" localSheetId="2">'2. mell. 2. pont'!$6:$6</definedName>
    <definedName name="_xlnm.Print_Titles" localSheetId="7">'5.mell. 3. pont szerződések-Önk'!$1:$8</definedName>
    <definedName name="_xlnm.Print_Area" localSheetId="0">'1. melléklet'!$A$1:$G$180</definedName>
    <definedName name="_xlnm.Print_Area" localSheetId="14">'11. melléklet EU-s'!$A$1:$I$186</definedName>
    <definedName name="_xlnm.Print_Area" localSheetId="1">'2. mell. 1. pont'!$A$1:$G$238</definedName>
    <definedName name="_xlnm.Print_Area" localSheetId="2">'2. mell. 2. pont'!$A$1:$J$12</definedName>
    <definedName name="_xlnm.Print_Area" localSheetId="4">'4. melléklet'!$A$1:$I$31</definedName>
    <definedName name="_xlnm.Print_Area" localSheetId="6">'5.mell. 2. pont kezességv.'!$A$1:$K$13</definedName>
    <definedName name="_xlnm.Print_Area" localSheetId="7">'5.mell. 3. pont szerződések-Önk'!$A$1:$E$146</definedName>
    <definedName name="_xlnm.Print_Area" localSheetId="8">'5.mell. 4. pont szerződések-KÖH'!$A$1:$E$65</definedName>
    <definedName name="_xlnm.Print_Area" localSheetId="9">'6. melléklet'!$A$1:$D$46</definedName>
    <definedName name="_xlnm.Print_Area" localSheetId="11">'8. melléklet'!$A$1:$O$40</definedName>
  </definedNames>
  <calcPr calcId="181029"/>
</workbook>
</file>

<file path=xl/calcChain.xml><?xml version="1.0" encoding="utf-8"?>
<calcChain xmlns="http://schemas.openxmlformats.org/spreadsheetml/2006/main">
  <c r="F13" i="291" l="1"/>
  <c r="E8" i="291"/>
  <c r="E22" i="291" s="1"/>
  <c r="D8" i="291"/>
  <c r="C8" i="291"/>
  <c r="C22" i="291" s="1"/>
  <c r="B8" i="291"/>
  <c r="F12" i="291"/>
  <c r="F11" i="291"/>
  <c r="F20" i="291"/>
  <c r="F19" i="291"/>
  <c r="F18" i="291"/>
  <c r="F17" i="291"/>
  <c r="F16" i="291"/>
  <c r="E15" i="291"/>
  <c r="D15" i="291"/>
  <c r="C15" i="291"/>
  <c r="B15" i="291"/>
  <c r="F14" i="291"/>
  <c r="F10" i="291"/>
  <c r="F9" i="291"/>
  <c r="F8" i="291" s="1"/>
  <c r="C8" i="257"/>
  <c r="B8" i="257"/>
  <c r="G40" i="277"/>
  <c r="F40" i="277"/>
  <c r="E40" i="277"/>
  <c r="D40" i="277"/>
  <c r="D22" i="291" l="1"/>
  <c r="B22" i="291"/>
  <c r="F15" i="291"/>
  <c r="F22" i="291" s="1"/>
  <c r="I152" i="290"/>
  <c r="I151" i="290"/>
  <c r="I150" i="290"/>
  <c r="I149" i="290"/>
  <c r="I148" i="290"/>
  <c r="I134" i="290"/>
  <c r="I129" i="290"/>
  <c r="I128" i="290"/>
  <c r="I123" i="290"/>
  <c r="I122" i="290"/>
  <c r="I121" i="290"/>
  <c r="I116" i="290"/>
  <c r="I115" i="290"/>
  <c r="I114" i="290"/>
  <c r="I113" i="290"/>
  <c r="I108" i="290"/>
  <c r="I107" i="290"/>
  <c r="I106" i="290"/>
  <c r="I105" i="290"/>
  <c r="I104" i="290"/>
  <c r="I99" i="290"/>
  <c r="I98" i="290"/>
  <c r="I97" i="290"/>
  <c r="I96" i="290"/>
  <c r="I95" i="290"/>
  <c r="I94" i="290"/>
  <c r="I176" i="290"/>
  <c r="I175" i="290"/>
  <c r="I25" i="290"/>
  <c r="I24" i="290"/>
  <c r="I19" i="290"/>
  <c r="I18" i="290"/>
  <c r="I13" i="290"/>
  <c r="I12" i="290"/>
  <c r="I43" i="290"/>
  <c r="I42" i="290"/>
  <c r="I50" i="290"/>
  <c r="I49" i="290"/>
  <c r="I62" i="290"/>
  <c r="I61" i="290"/>
  <c r="I67" i="290"/>
  <c r="I68" i="290" s="1"/>
  <c r="I72" i="290"/>
  <c r="I73" i="290" s="1"/>
  <c r="I77" i="290"/>
  <c r="I56" i="290"/>
  <c r="I55" i="290"/>
  <c r="G57" i="290"/>
  <c r="F63" i="290"/>
  <c r="H183" i="290"/>
  <c r="H186" i="290" s="1"/>
  <c r="G183" i="290"/>
  <c r="F183" i="290"/>
  <c r="E183" i="290"/>
  <c r="D183" i="290"/>
  <c r="I182" i="290"/>
  <c r="I183" i="290" s="1"/>
  <c r="G177" i="290"/>
  <c r="F177" i="290"/>
  <c r="E177" i="290"/>
  <c r="D177" i="290"/>
  <c r="E171" i="290"/>
  <c r="D171" i="290"/>
  <c r="I170" i="290"/>
  <c r="I169" i="290"/>
  <c r="G165" i="290"/>
  <c r="F165" i="290"/>
  <c r="E165" i="290"/>
  <c r="D165" i="290"/>
  <c r="I164" i="290"/>
  <c r="I163" i="290"/>
  <c r="F159" i="290"/>
  <c r="E159" i="290"/>
  <c r="D159" i="290"/>
  <c r="I158" i="290"/>
  <c r="I157" i="290"/>
  <c r="G153" i="290"/>
  <c r="F153" i="290"/>
  <c r="E153" i="290"/>
  <c r="D153" i="290"/>
  <c r="E144" i="290"/>
  <c r="D144" i="290"/>
  <c r="I143" i="290"/>
  <c r="I142" i="290"/>
  <c r="F141" i="290"/>
  <c r="F144" i="290" s="1"/>
  <c r="G140" i="290"/>
  <c r="G144" i="290" s="1"/>
  <c r="D136" i="290"/>
  <c r="G135" i="290"/>
  <c r="G136" i="290" s="1"/>
  <c r="F135" i="290"/>
  <c r="F136" i="290" s="1"/>
  <c r="E135" i="290"/>
  <c r="E136" i="290" s="1"/>
  <c r="G130" i="290"/>
  <c r="F130" i="290"/>
  <c r="E130" i="290"/>
  <c r="D130" i="290"/>
  <c r="G124" i="290"/>
  <c r="F124" i="290"/>
  <c r="E124" i="290"/>
  <c r="D124" i="290"/>
  <c r="G117" i="290"/>
  <c r="F117" i="290"/>
  <c r="E117" i="290"/>
  <c r="D117" i="290"/>
  <c r="G109" i="290"/>
  <c r="F109" i="290"/>
  <c r="E109" i="290"/>
  <c r="D109" i="290"/>
  <c r="G100" i="290"/>
  <c r="F100" i="290"/>
  <c r="E100" i="290"/>
  <c r="D100" i="290"/>
  <c r="H83" i="290"/>
  <c r="G83" i="290"/>
  <c r="I82" i="290"/>
  <c r="I83" i="290" s="1"/>
  <c r="H78" i="290"/>
  <c r="G78" i="290"/>
  <c r="F78" i="290"/>
  <c r="E78" i="290"/>
  <c r="D78" i="290"/>
  <c r="I78" i="290"/>
  <c r="G73" i="290"/>
  <c r="F73" i="290"/>
  <c r="E73" i="290"/>
  <c r="D73" i="290"/>
  <c r="G68" i="290"/>
  <c r="F68" i="290"/>
  <c r="E68" i="290"/>
  <c r="D68" i="290"/>
  <c r="E63" i="290"/>
  <c r="D63" i="290"/>
  <c r="F57" i="290"/>
  <c r="E57" i="290"/>
  <c r="D57" i="290"/>
  <c r="F51" i="290"/>
  <c r="E51" i="290"/>
  <c r="D51" i="290"/>
  <c r="G44" i="290"/>
  <c r="F44" i="290"/>
  <c r="E44" i="290"/>
  <c r="D44" i="290"/>
  <c r="G38" i="290"/>
  <c r="F38" i="290"/>
  <c r="E38" i="290"/>
  <c r="D38" i="290"/>
  <c r="I37" i="290"/>
  <c r="I36" i="290"/>
  <c r="G31" i="290"/>
  <c r="F31" i="290"/>
  <c r="E31" i="290"/>
  <c r="D31" i="290"/>
  <c r="I30" i="290"/>
  <c r="I31" i="290" s="1"/>
  <c r="G26" i="290"/>
  <c r="F26" i="290"/>
  <c r="E26" i="290"/>
  <c r="D26" i="290"/>
  <c r="G20" i="290"/>
  <c r="F20" i="290"/>
  <c r="E20" i="290"/>
  <c r="D20" i="290"/>
  <c r="G14" i="290"/>
  <c r="F14" i="290"/>
  <c r="E14" i="290"/>
  <c r="D14" i="290"/>
  <c r="G186" i="290" l="1"/>
  <c r="H85" i="290"/>
  <c r="D186" i="290"/>
  <c r="E186" i="290"/>
  <c r="E85" i="290"/>
  <c r="D85" i="290"/>
  <c r="F186" i="290"/>
  <c r="I140" i="290"/>
  <c r="I135" i="290"/>
  <c r="I141" i="290"/>
  <c r="F85" i="290"/>
  <c r="G85" i="290"/>
  <c r="I20" i="290"/>
  <c r="I26" i="290"/>
  <c r="I165" i="290"/>
  <c r="I153" i="290"/>
  <c r="I171" i="290"/>
  <c r="I177" i="290"/>
  <c r="I51" i="290"/>
  <c r="I100" i="290"/>
  <c r="I109" i="290"/>
  <c r="I159" i="290"/>
  <c r="I57" i="290"/>
  <c r="I63" i="290"/>
  <c r="I14" i="290"/>
  <c r="I38" i="290"/>
  <c r="I117" i="290"/>
  <c r="I124" i="290"/>
  <c r="I136" i="290"/>
  <c r="I44" i="290"/>
  <c r="I130" i="290"/>
  <c r="I186" i="290" l="1"/>
  <c r="I85" i="290"/>
  <c r="I144" i="290"/>
  <c r="O8" i="288" l="1"/>
  <c r="O7" i="288"/>
  <c r="L8" i="288"/>
  <c r="L7" i="288"/>
  <c r="R7" i="288" s="1"/>
  <c r="G9" i="288"/>
  <c r="F9" i="288"/>
  <c r="E9" i="288"/>
  <c r="J8" i="288"/>
  <c r="J10" i="288" s="1"/>
  <c r="G8" i="288"/>
  <c r="F8" i="288"/>
  <c r="E8" i="288"/>
  <c r="G7" i="288"/>
  <c r="F7" i="288"/>
  <c r="E7" i="288"/>
  <c r="G12" i="289"/>
  <c r="Q10" i="288"/>
  <c r="P10" i="288"/>
  <c r="N10" i="288"/>
  <c r="M10" i="288"/>
  <c r="H10" i="288"/>
  <c r="S9" i="288"/>
  <c r="S8" i="288"/>
  <c r="S7" i="288"/>
  <c r="O36" i="287"/>
  <c r="O34" i="287"/>
  <c r="N33" i="287"/>
  <c r="M33" i="287"/>
  <c r="L33" i="287"/>
  <c r="K33" i="287"/>
  <c r="J33" i="287"/>
  <c r="I33" i="287"/>
  <c r="H33" i="287"/>
  <c r="G33" i="287"/>
  <c r="F33" i="287"/>
  <c r="E33" i="287"/>
  <c r="D33" i="287"/>
  <c r="C33" i="287"/>
  <c r="O32" i="287"/>
  <c r="O31" i="287"/>
  <c r="O30" i="287"/>
  <c r="N29" i="287"/>
  <c r="M29" i="287"/>
  <c r="L29" i="287"/>
  <c r="K29" i="287"/>
  <c r="J29" i="287"/>
  <c r="I29" i="287"/>
  <c r="I35" i="287" s="1"/>
  <c r="I37" i="287" s="1"/>
  <c r="H29" i="287"/>
  <c r="G29" i="287"/>
  <c r="F29" i="287"/>
  <c r="E29" i="287"/>
  <c r="E35" i="287" s="1"/>
  <c r="E37" i="287" s="1"/>
  <c r="D29" i="287"/>
  <c r="C29" i="287"/>
  <c r="C35" i="287" s="1"/>
  <c r="C37" i="287" s="1"/>
  <c r="O28" i="287"/>
  <c r="O27" i="287"/>
  <c r="O26" i="287"/>
  <c r="O25" i="287"/>
  <c r="O24" i="287"/>
  <c r="O19" i="287"/>
  <c r="O17" i="287"/>
  <c r="O16" i="287"/>
  <c r="F15" i="287"/>
  <c r="O15" i="287" s="1"/>
  <c r="N14" i="287"/>
  <c r="N18" i="287" s="1"/>
  <c r="M14" i="287"/>
  <c r="M18" i="287" s="1"/>
  <c r="L14" i="287"/>
  <c r="L18" i="287" s="1"/>
  <c r="K14" i="287"/>
  <c r="K18" i="287" s="1"/>
  <c r="J14" i="287"/>
  <c r="J18" i="287" s="1"/>
  <c r="I14" i="287"/>
  <c r="I18" i="287" s="1"/>
  <c r="H14" i="287"/>
  <c r="H18" i="287" s="1"/>
  <c r="G14" i="287"/>
  <c r="G18" i="287" s="1"/>
  <c r="F14" i="287"/>
  <c r="F18" i="287" s="1"/>
  <c r="E14" i="287"/>
  <c r="E18" i="287" s="1"/>
  <c r="D14" i="287"/>
  <c r="D18" i="287" s="1"/>
  <c r="C14" i="287"/>
  <c r="C18" i="287" s="1"/>
  <c r="O13" i="287"/>
  <c r="O12" i="287"/>
  <c r="O11" i="287"/>
  <c r="O10" i="287"/>
  <c r="O9" i="287"/>
  <c r="B37" i="285"/>
  <c r="D45" i="285"/>
  <c r="C45" i="285"/>
  <c r="B45" i="285"/>
  <c r="D37" i="285"/>
  <c r="C37" i="285"/>
  <c r="D24" i="285"/>
  <c r="C24" i="285"/>
  <c r="B24" i="285"/>
  <c r="D16" i="285"/>
  <c r="C16" i="285"/>
  <c r="B16" i="285"/>
  <c r="I25" i="270"/>
  <c r="I16" i="270"/>
  <c r="I14" i="270"/>
  <c r="E65" i="284"/>
  <c r="D65" i="284"/>
  <c r="D145" i="283"/>
  <c r="D144" i="283"/>
  <c r="D143" i="283"/>
  <c r="D142" i="283"/>
  <c r="D138" i="283"/>
  <c r="D136" i="283"/>
  <c r="E135" i="283"/>
  <c r="D135" i="283"/>
  <c r="D134" i="283"/>
  <c r="D133" i="283"/>
  <c r="D132" i="283"/>
  <c r="D131" i="283"/>
  <c r="D130" i="283"/>
  <c r="D129" i="283"/>
  <c r="D128" i="283"/>
  <c r="D127" i="283"/>
  <c r="D126" i="283"/>
  <c r="D125" i="283"/>
  <c r="D124" i="283"/>
  <c r="D123" i="283"/>
  <c r="D121" i="283"/>
  <c r="D120" i="283"/>
  <c r="D119" i="283"/>
  <c r="D118" i="283"/>
  <c r="D117" i="283"/>
  <c r="D114" i="283"/>
  <c r="D113" i="283"/>
  <c r="E112" i="283"/>
  <c r="D112" i="283" s="1"/>
  <c r="E110" i="283"/>
  <c r="D110" i="283"/>
  <c r="D109" i="283"/>
  <c r="D108" i="283"/>
  <c r="D107" i="283"/>
  <c r="E106" i="283"/>
  <c r="D106" i="283"/>
  <c r="D105" i="283"/>
  <c r="D104" i="283"/>
  <c r="D103" i="283"/>
  <c r="D102" i="283"/>
  <c r="D101" i="283"/>
  <c r="D100" i="283"/>
  <c r="D99" i="283"/>
  <c r="D98" i="283"/>
  <c r="D97" i="283"/>
  <c r="D95" i="283"/>
  <c r="D93" i="283"/>
  <c r="D92" i="283"/>
  <c r="E90" i="283"/>
  <c r="D90" i="283" s="1"/>
  <c r="D89" i="283"/>
  <c r="D87" i="283"/>
  <c r="D86" i="283"/>
  <c r="D85" i="283"/>
  <c r="E83" i="283"/>
  <c r="D83" i="283"/>
  <c r="D82" i="283"/>
  <c r="D79" i="283"/>
  <c r="D74" i="283"/>
  <c r="D72" i="283"/>
  <c r="D71" i="283"/>
  <c r="D70" i="283"/>
  <c r="D69" i="283"/>
  <c r="E68" i="283"/>
  <c r="D68" i="283"/>
  <c r="D67" i="283"/>
  <c r="D63" i="283"/>
  <c r="D62" i="283"/>
  <c r="E61" i="283"/>
  <c r="D61" i="283" s="1"/>
  <c r="D60" i="283"/>
  <c r="E59" i="283"/>
  <c r="E146" i="283" s="1"/>
  <c r="D59" i="283"/>
  <c r="D58" i="283"/>
  <c r="D57" i="283"/>
  <c r="D56" i="283"/>
  <c r="D55" i="283"/>
  <c r="D54" i="283"/>
  <c r="D52" i="283"/>
  <c r="D51" i="283"/>
  <c r="D50" i="283"/>
  <c r="D49" i="283"/>
  <c r="D47" i="283"/>
  <c r="D44" i="283"/>
  <c r="D43" i="283"/>
  <c r="D42" i="283"/>
  <c r="D41" i="283"/>
  <c r="D40" i="283"/>
  <c r="D39" i="283"/>
  <c r="D38" i="283"/>
  <c r="D37" i="283"/>
  <c r="D36" i="283"/>
  <c r="D35" i="283"/>
  <c r="D34" i="283"/>
  <c r="D33" i="283"/>
  <c r="D32" i="283"/>
  <c r="D28" i="283"/>
  <c r="D27" i="283"/>
  <c r="D26" i="283"/>
  <c r="D23" i="283"/>
  <c r="D22" i="283"/>
  <c r="D21" i="283"/>
  <c r="D20" i="283"/>
  <c r="D19" i="283"/>
  <c r="D18" i="283"/>
  <c r="D13" i="283"/>
  <c r="D12" i="283"/>
  <c r="D11" i="283"/>
  <c r="D10" i="283"/>
  <c r="D9" i="283"/>
  <c r="D146" i="283" s="1"/>
  <c r="G35" i="287" l="1"/>
  <c r="G37" i="287" s="1"/>
  <c r="O33" i="287"/>
  <c r="K35" i="287"/>
  <c r="K37" i="287" s="1"/>
  <c r="J35" i="287"/>
  <c r="J37" i="287" s="1"/>
  <c r="D35" i="287"/>
  <c r="D37" i="287" s="1"/>
  <c r="M35" i="287"/>
  <c r="M37" i="287" s="1"/>
  <c r="N35" i="287"/>
  <c r="N37" i="287" s="1"/>
  <c r="L35" i="287"/>
  <c r="L37" i="287" s="1"/>
  <c r="H35" i="287"/>
  <c r="H37" i="287" s="1"/>
  <c r="F35" i="287"/>
  <c r="F37" i="287" s="1"/>
  <c r="O29" i="287"/>
  <c r="O10" i="288"/>
  <c r="S10" i="288"/>
  <c r="R8" i="288"/>
  <c r="G10" i="288"/>
  <c r="E10" i="288"/>
  <c r="F21" i="287"/>
  <c r="J21" i="287"/>
  <c r="N21" i="287"/>
  <c r="G21" i="287"/>
  <c r="C38" i="287"/>
  <c r="C21" i="287"/>
  <c r="D21" i="287"/>
  <c r="H21" i="287"/>
  <c r="L21" i="287"/>
  <c r="K21" i="287"/>
  <c r="E21" i="287"/>
  <c r="E39" i="287" s="1"/>
  <c r="E38" i="287"/>
  <c r="I21" i="287"/>
  <c r="I39" i="287" s="1"/>
  <c r="I38" i="287"/>
  <c r="M21" i="287"/>
  <c r="O14" i="287"/>
  <c r="O18" i="287" s="1"/>
  <c r="O21" i="287" s="1"/>
  <c r="F10" i="288"/>
  <c r="B25" i="285"/>
  <c r="C25" i="285"/>
  <c r="B46" i="285"/>
  <c r="D46" i="285"/>
  <c r="C46" i="285"/>
  <c r="D25" i="285"/>
  <c r="D51" i="280"/>
  <c r="E160" i="280"/>
  <c r="D160" i="280"/>
  <c r="D14" i="270" s="1"/>
  <c r="G18" i="280"/>
  <c r="F18" i="280"/>
  <c r="E18" i="280"/>
  <c r="D18" i="280"/>
  <c r="G12" i="280"/>
  <c r="F12" i="280"/>
  <c r="E12" i="280"/>
  <c r="D12" i="280"/>
  <c r="K38" i="287" l="1"/>
  <c r="G39" i="287"/>
  <c r="G38" i="287"/>
  <c r="O35" i="287"/>
  <c r="O37" i="287" s="1"/>
  <c r="D39" i="287"/>
  <c r="D38" i="287"/>
  <c r="L39" i="287"/>
  <c r="K39" i="287"/>
  <c r="J38" i="287"/>
  <c r="J39" i="287"/>
  <c r="M39" i="287"/>
  <c r="M38" i="287"/>
  <c r="N38" i="287"/>
  <c r="N39" i="287"/>
  <c r="L38" i="287"/>
  <c r="H39" i="287"/>
  <c r="H38" i="287"/>
  <c r="F38" i="287"/>
  <c r="F39" i="287"/>
  <c r="C40" i="287"/>
  <c r="D40" i="287" s="1"/>
  <c r="E40" i="287" s="1"/>
  <c r="F40" i="287" s="1"/>
  <c r="G40" i="287" s="1"/>
  <c r="H40" i="287" s="1"/>
  <c r="I40" i="287" s="1"/>
  <c r="J40" i="287" s="1"/>
  <c r="K40" i="287" s="1"/>
  <c r="L40" i="287" s="1"/>
  <c r="M40" i="287" s="1"/>
  <c r="N40" i="287" s="1"/>
  <c r="O40" i="287" s="1"/>
  <c r="C39" i="287"/>
  <c r="G16" i="277"/>
  <c r="G17" i="277" s="1"/>
  <c r="F16" i="277"/>
  <c r="F17" i="277" s="1"/>
  <c r="E16" i="277"/>
  <c r="E17" i="277" s="1"/>
  <c r="D16" i="277"/>
  <c r="O39" i="287" l="1"/>
  <c r="O38" i="287"/>
  <c r="D17" i="277"/>
  <c r="I7" i="288"/>
  <c r="K7" i="288" s="1"/>
  <c r="G117" i="280" l="1"/>
  <c r="F117" i="280"/>
  <c r="E117" i="280"/>
  <c r="D117" i="280"/>
  <c r="D22" i="270" s="1"/>
  <c r="G81" i="280"/>
  <c r="F81" i="280"/>
  <c r="E81" i="280"/>
  <c r="D81" i="280"/>
  <c r="D20" i="270" s="1"/>
  <c r="G69" i="280"/>
  <c r="G71" i="280" s="1"/>
  <c r="F69" i="280"/>
  <c r="F71" i="280" s="1"/>
  <c r="E69" i="280"/>
  <c r="E71" i="280" s="1"/>
  <c r="D69" i="280"/>
  <c r="D71" i="280" s="1"/>
  <c r="D10" i="270" s="1"/>
  <c r="L23" i="281" l="1"/>
  <c r="K23" i="281"/>
  <c r="J23" i="281"/>
  <c r="I23" i="281"/>
  <c r="H23" i="281"/>
  <c r="G23" i="281"/>
  <c r="F23" i="281"/>
  <c r="E23" i="281"/>
  <c r="D23" i="281"/>
  <c r="C23" i="281"/>
  <c r="M22" i="281"/>
  <c r="M21" i="281"/>
  <c r="M20" i="281"/>
  <c r="M19" i="281"/>
  <c r="M23" i="281" s="1"/>
  <c r="L13" i="281"/>
  <c r="K13" i="281"/>
  <c r="J13" i="281"/>
  <c r="I13" i="281"/>
  <c r="H13" i="281"/>
  <c r="G13" i="281"/>
  <c r="F13" i="281"/>
  <c r="E13" i="281"/>
  <c r="C13" i="281"/>
  <c r="M12" i="281"/>
  <c r="M11" i="281"/>
  <c r="M10" i="281"/>
  <c r="M13" i="281" s="1"/>
  <c r="D100" i="280" l="1"/>
  <c r="G173" i="280" l="1"/>
  <c r="F173" i="280"/>
  <c r="E173" i="280"/>
  <c r="D173" i="280"/>
  <c r="G167" i="280"/>
  <c r="F167" i="280"/>
  <c r="E167" i="280"/>
  <c r="D167" i="280"/>
  <c r="D25" i="270" s="1"/>
  <c r="G160" i="280"/>
  <c r="F160" i="280"/>
  <c r="G139" i="280"/>
  <c r="F139" i="280"/>
  <c r="E139" i="280"/>
  <c r="D139" i="280"/>
  <c r="D24" i="270" s="1"/>
  <c r="G131" i="280"/>
  <c r="F131" i="280"/>
  <c r="E131" i="280"/>
  <c r="D131" i="280"/>
  <c r="D23" i="270" s="1"/>
  <c r="G126" i="280"/>
  <c r="G133" i="280" s="1"/>
  <c r="F126" i="280"/>
  <c r="F133" i="280" s="1"/>
  <c r="E126" i="280"/>
  <c r="D126" i="280"/>
  <c r="D12" i="270" s="1"/>
  <c r="G103" i="280"/>
  <c r="F103" i="280"/>
  <c r="E103" i="280"/>
  <c r="D103" i="280"/>
  <c r="D11" i="270" s="1"/>
  <c r="G57" i="280"/>
  <c r="F57" i="280"/>
  <c r="E57" i="280"/>
  <c r="D57" i="280"/>
  <c r="G52" i="280"/>
  <c r="F52" i="280"/>
  <c r="F59" i="280" s="1"/>
  <c r="E52" i="280"/>
  <c r="E59" i="280" s="1"/>
  <c r="D52" i="280"/>
  <c r="G44" i="280"/>
  <c r="F44" i="280"/>
  <c r="E44" i="280"/>
  <c r="D44" i="280"/>
  <c r="G24" i="280"/>
  <c r="G26" i="280" s="1"/>
  <c r="G28" i="280" s="1"/>
  <c r="F24" i="280"/>
  <c r="F26" i="280" s="1"/>
  <c r="F28" i="280" s="1"/>
  <c r="E24" i="280"/>
  <c r="E26" i="280" s="1"/>
  <c r="E28" i="280" s="1"/>
  <c r="D24" i="280"/>
  <c r="G233" i="277"/>
  <c r="F233" i="277"/>
  <c r="E233" i="277"/>
  <c r="D233" i="277"/>
  <c r="G222" i="277"/>
  <c r="F222" i="277"/>
  <c r="E222" i="277"/>
  <c r="D222" i="277"/>
  <c r="I23" i="270" s="1"/>
  <c r="G216" i="277"/>
  <c r="F216" i="277"/>
  <c r="E216" i="277"/>
  <c r="D216" i="277"/>
  <c r="G210" i="277"/>
  <c r="F210" i="277"/>
  <c r="E210" i="277"/>
  <c r="E224" i="277" s="1"/>
  <c r="D210" i="277"/>
  <c r="I22" i="270" s="1"/>
  <c r="G205" i="277"/>
  <c r="F205" i="277"/>
  <c r="E205" i="277"/>
  <c r="D205" i="277"/>
  <c r="I21" i="270" s="1"/>
  <c r="G194" i="277"/>
  <c r="F194" i="277"/>
  <c r="E194" i="277"/>
  <c r="D194" i="277"/>
  <c r="G164" i="277"/>
  <c r="F164" i="277"/>
  <c r="E164" i="277"/>
  <c r="D164" i="277"/>
  <c r="G146" i="277"/>
  <c r="F146" i="277"/>
  <c r="E146" i="277"/>
  <c r="D146" i="277"/>
  <c r="G136" i="277"/>
  <c r="F136" i="277"/>
  <c r="E136" i="277"/>
  <c r="D136" i="277"/>
  <c r="I12" i="270" s="1"/>
  <c r="G122" i="277"/>
  <c r="F122" i="277"/>
  <c r="E122" i="277"/>
  <c r="D122" i="277"/>
  <c r="I10" i="270" s="1"/>
  <c r="G64" i="277"/>
  <c r="F64" i="277"/>
  <c r="E64" i="277"/>
  <c r="D64" i="277"/>
  <c r="I9" i="270" s="1"/>
  <c r="G54" i="277"/>
  <c r="F54" i="277"/>
  <c r="E54" i="277"/>
  <c r="D54" i="277"/>
  <c r="I8" i="270" s="1"/>
  <c r="G41" i="277"/>
  <c r="F41" i="277"/>
  <c r="E41" i="277"/>
  <c r="G28" i="277"/>
  <c r="F28" i="277"/>
  <c r="G25" i="277"/>
  <c r="F25" i="277"/>
  <c r="E25" i="277"/>
  <c r="E29" i="277" s="1"/>
  <c r="D25" i="277"/>
  <c r="E133" i="280" l="1"/>
  <c r="D29" i="277"/>
  <c r="I8" i="288"/>
  <c r="K8" i="288" s="1"/>
  <c r="D28" i="270"/>
  <c r="D26" i="280"/>
  <c r="D28" i="280" s="1"/>
  <c r="L9" i="288"/>
  <c r="D8" i="270"/>
  <c r="D41" i="277"/>
  <c r="I20" i="270"/>
  <c r="I28" i="270" s="1"/>
  <c r="I9" i="288"/>
  <c r="D59" i="280"/>
  <c r="D9" i="270" s="1"/>
  <c r="E43" i="277"/>
  <c r="F29" i="277"/>
  <c r="F43" i="277" s="1"/>
  <c r="G29" i="277"/>
  <c r="G119" i="280"/>
  <c r="D119" i="280"/>
  <c r="G224" i="277"/>
  <c r="G59" i="280"/>
  <c r="F119" i="280"/>
  <c r="E119" i="280"/>
  <c r="D224" i="277"/>
  <c r="F224" i="277"/>
  <c r="D133" i="280"/>
  <c r="D43" i="277" l="1"/>
  <c r="R9" i="288"/>
  <c r="R10" i="288" s="1"/>
  <c r="L10" i="288"/>
  <c r="K9" i="288"/>
  <c r="K10" i="288" s="1"/>
  <c r="I10" i="288"/>
  <c r="G43" i="277"/>
  <c r="G160" i="277" l="1"/>
  <c r="G176" i="277" s="1"/>
  <c r="G226" i="277" s="1"/>
  <c r="G237" i="277" s="1"/>
  <c r="F160" i="277"/>
  <c r="F176" i="277" s="1"/>
  <c r="F226" i="277" s="1"/>
  <c r="F237" i="277" s="1"/>
  <c r="E160" i="277"/>
  <c r="E176" i="277" s="1"/>
  <c r="E226" i="277" s="1"/>
  <c r="E237" i="277" s="1"/>
  <c r="D160" i="277"/>
  <c r="D176" i="277" l="1"/>
  <c r="D226" i="277" s="1"/>
  <c r="D237" i="277" s="1"/>
  <c r="I11" i="270"/>
  <c r="I18" i="270" s="1"/>
  <c r="I31" i="270" s="1"/>
  <c r="D145" i="280"/>
  <c r="E145" i="280"/>
  <c r="E147" i="280" s="1"/>
  <c r="E149" i="280" s="1"/>
  <c r="F145" i="280"/>
  <c r="F147" i="280" s="1"/>
  <c r="F149" i="280" s="1"/>
  <c r="G145" i="280"/>
  <c r="G147" i="280" s="1"/>
  <c r="G149" i="280" s="1"/>
  <c r="D147" i="280" l="1"/>
  <c r="D149" i="280" s="1"/>
  <c r="D152" i="280" s="1"/>
  <c r="D177" i="280" s="1"/>
  <c r="D13" i="270"/>
  <c r="D18" i="270" s="1"/>
  <c r="D31" i="270" s="1"/>
  <c r="G152" i="280"/>
  <c r="G177" i="280" s="1"/>
  <c r="F152" i="280"/>
  <c r="F177" i="280" s="1"/>
  <c r="E152" i="280"/>
  <c r="E177" i="280" s="1"/>
  <c r="H28" i="270" l="1"/>
  <c r="H18" i="270"/>
  <c r="C28" i="270"/>
  <c r="C18" i="270"/>
  <c r="C31" i="270" l="1"/>
  <c r="H31" i="270"/>
  <c r="G28" i="270"/>
  <c r="G18" i="270"/>
  <c r="B28" i="270"/>
  <c r="B18" i="270"/>
  <c r="G31" i="270" l="1"/>
  <c r="B31" i="270"/>
  <c r="C12" i="257" l="1"/>
  <c r="J9" i="257"/>
  <c r="J10" i="257"/>
  <c r="J11" i="257"/>
  <c r="D12" i="257"/>
  <c r="E12" i="257"/>
  <c r="F12" i="257"/>
  <c r="G12" i="257"/>
  <c r="H12" i="257"/>
  <c r="I12" i="257"/>
  <c r="J8" i="257" l="1"/>
  <c r="J12" i="257" s="1"/>
  <c r="B12" i="25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author>
  </authors>
  <commentList>
    <comment ref="D14" authorId="0" shapeId="0" xr:uid="{F526E405-C962-49A4-A8BF-F487C7AD44ED}">
      <text>
        <r>
          <rPr>
            <b/>
            <sz val="9"/>
            <color indexed="81"/>
            <rFont val="Tahoma"/>
            <family val="2"/>
            <charset val="238"/>
          </rPr>
          <t>2022.12.hó</t>
        </r>
      </text>
    </comment>
    <comment ref="E14" authorId="0" shapeId="0" xr:uid="{8BFD2C23-B562-405A-B57B-149060EAEA35}">
      <text>
        <r>
          <rPr>
            <b/>
            <sz val="9"/>
            <color indexed="81"/>
            <rFont val="Tahoma"/>
            <family val="2"/>
            <charset val="238"/>
          </rPr>
          <t>21.12-22.11.hó</t>
        </r>
      </text>
    </comment>
    <comment ref="D16" authorId="0" shapeId="0" xr:uid="{A1E9790E-D05B-4B50-868F-4A8F14453023}">
      <text>
        <r>
          <rPr>
            <b/>
            <sz val="9"/>
            <color indexed="81"/>
            <rFont val="Tahoma"/>
            <family val="2"/>
            <charset val="238"/>
          </rPr>
          <t>nem számlázott: 48.251.693,-
előlegen van: 10.736.666,-
ford.áfa: 1.746.284,-</t>
        </r>
      </text>
    </comment>
    <comment ref="D18" authorId="0" shapeId="0" xr:uid="{FB0C4527-0783-4375-ACE7-BB474F1FA73A}">
      <text>
        <r>
          <rPr>
            <b/>
            <sz val="9"/>
            <color indexed="81"/>
            <rFont val="Tahoma"/>
            <family val="2"/>
            <charset val="238"/>
          </rPr>
          <t>nem számlázott: 57.093.743,-
előlegen van: 38.098.350,-</t>
        </r>
      </text>
    </comment>
    <comment ref="D19" authorId="0" shapeId="0" xr:uid="{B9E8426A-85CD-461C-97A1-E4266C7632D9}">
      <text>
        <r>
          <rPr>
            <b/>
            <sz val="9"/>
            <color indexed="81"/>
            <rFont val="Tahoma"/>
            <family val="2"/>
            <charset val="238"/>
          </rPr>
          <t xml:space="preserve">nem számlázott: 28.864.398,-
előlegen van: 18.834.938,-
</t>
        </r>
      </text>
    </comment>
    <comment ref="E44" authorId="0" shapeId="0" xr:uid="{DBE18780-CF66-4716-ACB9-58B986CBFAB9}">
      <text>
        <r>
          <rPr>
            <b/>
            <sz val="9"/>
            <color indexed="81"/>
            <rFont val="Tahoma"/>
            <family val="2"/>
            <charset val="238"/>
          </rPr>
          <t>fél év</t>
        </r>
      </text>
    </comment>
    <comment ref="E50" authorId="0" shapeId="0" xr:uid="{53D530EF-63DB-44B7-A6ED-C8866CD433C3}">
      <text>
        <r>
          <rPr>
            <b/>
            <sz val="9"/>
            <color indexed="81"/>
            <rFont val="Tahoma"/>
            <family val="2"/>
            <charset val="238"/>
          </rPr>
          <t>07.01-től havi 40e</t>
        </r>
      </text>
    </comment>
    <comment ref="D53" authorId="0" shapeId="0" xr:uid="{67B582D7-BA23-4CEC-82E5-2EB0C80A4C6D}">
      <text>
        <r>
          <rPr>
            <b/>
            <sz val="9"/>
            <color indexed="81"/>
            <rFont val="Tahoma"/>
            <family val="2"/>
            <charset val="238"/>
          </rPr>
          <t>22.12.hó</t>
        </r>
      </text>
    </comment>
    <comment ref="E53" authorId="0" shapeId="0" xr:uid="{B4B6B1B0-D107-47F6-80FF-1FD52FA2FD11}">
      <text>
        <r>
          <rPr>
            <b/>
            <sz val="9"/>
            <color indexed="81"/>
            <rFont val="Tahoma"/>
            <family val="2"/>
            <charset val="238"/>
          </rPr>
          <t>2021.12.-22.11.hó:
11x100.600,-
1x112.415,-</t>
        </r>
      </text>
    </comment>
    <comment ref="E55" authorId="0" shapeId="0" xr:uid="{3E2D58CB-3FD2-4C31-B252-5F754A52E250}">
      <text>
        <r>
          <rPr>
            <b/>
            <sz val="9"/>
            <color indexed="81"/>
            <rFont val="Tahoma"/>
            <family val="2"/>
            <charset val="238"/>
          </rPr>
          <t>bérlet:    2.162.500,-
szja:           337.500,-
rezsi:          360.000,- (6 hó)
ÓVADÉK:1.000.000,-</t>
        </r>
      </text>
    </comment>
    <comment ref="E62" authorId="0" shapeId="0" xr:uid="{348D4126-EC22-4DA4-90D8-5FBF6D97BCC5}">
      <text>
        <r>
          <rPr>
            <b/>
            <sz val="9"/>
            <color indexed="81"/>
            <rFont val="Tahoma"/>
            <family val="2"/>
            <charset val="238"/>
          </rPr>
          <t>22.01-22.12.hó</t>
        </r>
      </text>
    </comment>
    <comment ref="E63" authorId="0" shapeId="0" xr:uid="{C34B58A8-B28A-4D7B-8484-1C7F74CDDD0E}">
      <text>
        <r>
          <rPr>
            <b/>
            <sz val="9"/>
            <color indexed="81"/>
            <rFont val="Tahoma"/>
            <family val="2"/>
            <charset val="238"/>
          </rPr>
          <t>199.700,- (anyag)
2*700.000,-</t>
        </r>
      </text>
    </comment>
    <comment ref="D83" authorId="0" shapeId="0" xr:uid="{F3D20861-33B1-4DFC-9527-92C00D3386AD}">
      <text>
        <r>
          <rPr>
            <b/>
            <sz val="9"/>
            <color indexed="81"/>
            <rFont val="Tahoma"/>
            <family val="2"/>
            <charset val="238"/>
          </rPr>
          <t>Adri:</t>
        </r>
        <r>
          <rPr>
            <sz val="9"/>
            <color indexed="81"/>
            <rFont val="Tahoma"/>
            <family val="2"/>
            <charset val="238"/>
          </rPr>
          <t xml:space="preserve">
25.400,-*12</t>
        </r>
      </text>
    </comment>
    <comment ref="E90" authorId="0" shapeId="0" xr:uid="{D9AB27BA-DED6-4884-814E-C43FC36251AF}">
      <text>
        <r>
          <rPr>
            <b/>
            <sz val="9"/>
            <color indexed="81"/>
            <rFont val="Tahoma"/>
            <family val="2"/>
            <charset val="238"/>
          </rPr>
          <t>ebből inkubátorház: 34.680,-</t>
        </r>
      </text>
    </comment>
    <comment ref="D99" authorId="0" shapeId="0" xr:uid="{E2E255B3-4840-4A29-8865-EFD7BA934792}">
      <text>
        <r>
          <rPr>
            <b/>
            <sz val="9"/>
            <color indexed="81"/>
            <rFont val="Tahoma"/>
            <family val="2"/>
            <charset val="238"/>
          </rPr>
          <t>Adri:</t>
        </r>
        <r>
          <rPr>
            <sz val="9"/>
            <color indexed="81"/>
            <rFont val="Tahoma"/>
            <family val="2"/>
            <charset val="238"/>
          </rPr>
          <t xml:space="preserve">
1.250.000,-+áfa/félév</t>
        </r>
      </text>
    </comment>
    <comment ref="E102" authorId="0" shapeId="0" xr:uid="{84478B44-1EBC-432A-B464-0035780B69D8}">
      <text>
        <r>
          <rPr>
            <b/>
            <sz val="9"/>
            <color indexed="81"/>
            <rFont val="Tahoma"/>
            <family val="2"/>
            <charset val="238"/>
          </rPr>
          <t>Adri:</t>
        </r>
        <r>
          <rPr>
            <sz val="9"/>
            <color indexed="81"/>
            <rFont val="Tahoma"/>
            <family val="2"/>
            <charset val="238"/>
          </rPr>
          <t xml:space="preserve">
2020.12.01-2021.11.30.</t>
        </r>
      </text>
    </comment>
    <comment ref="E104" authorId="0" shapeId="0" xr:uid="{9B3DEB63-0A02-48EE-992B-87A470D0C334}">
      <text>
        <r>
          <rPr>
            <b/>
            <sz val="9"/>
            <color indexed="81"/>
            <rFont val="Tahoma"/>
            <family val="2"/>
            <charset val="238"/>
          </rPr>
          <t>2020.12.01-2021.11.31.</t>
        </r>
      </text>
    </comment>
    <comment ref="E107" authorId="0" shapeId="0" xr:uid="{63D4E7F2-56BC-4AE6-AD6C-600F3096D865}">
      <text>
        <r>
          <rPr>
            <b/>
            <sz val="9"/>
            <color indexed="81"/>
            <rFont val="Tahoma"/>
            <family val="2"/>
            <charset val="238"/>
          </rPr>
          <t xml:space="preserve">2022.I.félév
</t>
        </r>
      </text>
    </comment>
    <comment ref="E109" authorId="0" shapeId="0" xr:uid="{44831746-81D7-45D6-A471-C424BC032B8E}">
      <text>
        <r>
          <rPr>
            <b/>
            <sz val="9"/>
            <color indexed="81"/>
            <rFont val="Tahoma"/>
            <family val="2"/>
            <charset val="238"/>
          </rPr>
          <t>22.09.01-12.31.</t>
        </r>
      </text>
    </comment>
    <comment ref="D115" authorId="0" shapeId="0" xr:uid="{E8B37A0B-63B1-40E0-80CF-4867BA32DF8E}">
      <text>
        <r>
          <rPr>
            <b/>
            <sz val="9"/>
            <color indexed="81"/>
            <rFont val="Tahoma"/>
            <family val="2"/>
            <charset val="238"/>
          </rPr>
          <t>pótmunka</t>
        </r>
      </text>
    </comment>
    <comment ref="D123" authorId="0" shapeId="0" xr:uid="{AD1E001F-D9E7-4823-B170-B19B4A0BAA08}">
      <text>
        <r>
          <rPr>
            <b/>
            <sz val="9"/>
            <color indexed="81"/>
            <rFont val="Tahoma"/>
            <family val="2"/>
            <charset val="238"/>
          </rPr>
          <t>átlag 130.000,-/hó wifi4eu-val együtt</t>
        </r>
      </text>
    </comment>
    <comment ref="D130" authorId="0" shapeId="0" xr:uid="{84727ED9-3829-4760-8228-88B6870B4D93}">
      <text>
        <r>
          <rPr>
            <b/>
            <sz val="9"/>
            <color indexed="81"/>
            <rFont val="Tahoma"/>
            <family val="2"/>
            <charset val="238"/>
          </rPr>
          <t>12x52.610,-</t>
        </r>
      </text>
    </comment>
    <comment ref="E130" authorId="0" shapeId="0" xr:uid="{2478D291-6BBC-4B88-A2BF-C8306C9AACF3}">
      <text>
        <r>
          <rPr>
            <b/>
            <sz val="9"/>
            <color indexed="81"/>
            <rFont val="Tahoma"/>
            <family val="2"/>
            <charset val="238"/>
          </rPr>
          <t>01-02.: 2x41.665,-
03-08: 6x52.325,-
09-12: 4x52.610,-</t>
        </r>
      </text>
    </comment>
    <comment ref="E138" authorId="0" shapeId="0" xr:uid="{EE8D4F46-6FFF-4D7E-A740-D5253C69BDB6}">
      <text>
        <r>
          <rPr>
            <b/>
            <sz val="9"/>
            <color indexed="81"/>
            <rFont val="Tahoma"/>
            <family val="2"/>
            <charset val="238"/>
          </rPr>
          <t>1*200.000,- (21.12.hó)
11*250.000,- (01-11.hó)</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Kovács Zoltán</author>
  </authors>
  <commentList>
    <comment ref="D56" authorId="0" shapeId="0" xr:uid="{1370CBE8-9F80-4EDA-9673-A434AC0DE291}">
      <text>
        <r>
          <rPr>
            <sz val="9"/>
            <color indexed="81"/>
            <rFont val="Tahoma"/>
            <family val="2"/>
            <charset val="238"/>
          </rPr>
          <t>Kossuth-szoborcsoportot és a lakótornyot összekötő gyalogos híd engedélyezési terve</t>
        </r>
      </text>
    </comment>
  </commentList>
</comments>
</file>

<file path=xl/sharedStrings.xml><?xml version="1.0" encoding="utf-8"?>
<sst xmlns="http://schemas.openxmlformats.org/spreadsheetml/2006/main" count="1525" uniqueCount="971">
  <si>
    <t>1. Informatikai eszközök, szoftverek beszerzése</t>
  </si>
  <si>
    <t>2.1. Dombóvári Város- és Lakásgazdálkodási Nkft. tagi kölcsön</t>
  </si>
  <si>
    <t>Kölcsönök visszatérülése</t>
  </si>
  <si>
    <t xml:space="preserve"> </t>
  </si>
  <si>
    <t xml:space="preserve">Önkormányzat </t>
  </si>
  <si>
    <t>Cím</t>
  </si>
  <si>
    <t>Alcím</t>
  </si>
  <si>
    <t>Cím neve</t>
  </si>
  <si>
    <t>I.</t>
  </si>
  <si>
    <t>IV.</t>
  </si>
  <si>
    <t>101. cím összesen:</t>
  </si>
  <si>
    <t>104. cím összesen:</t>
  </si>
  <si>
    <t>II.</t>
  </si>
  <si>
    <t>III.</t>
  </si>
  <si>
    <t>1. Tárgyi eszköz, ingatlanértékesítés</t>
  </si>
  <si>
    <t>V.</t>
  </si>
  <si>
    <t>Mindösszesen:</t>
  </si>
  <si>
    <t>103. cím összesen:</t>
  </si>
  <si>
    <t>VI.</t>
  </si>
  <si>
    <t>Felújítások</t>
  </si>
  <si>
    <t>VII.</t>
  </si>
  <si>
    <t>Személyi juttatások</t>
  </si>
  <si>
    <t>Kiadás összesen</t>
  </si>
  <si>
    <t>Összesen:</t>
  </si>
  <si>
    <t>eFt</t>
  </si>
  <si>
    <t>összesen:</t>
  </si>
  <si>
    <t>Dologi kiadások</t>
  </si>
  <si>
    <t>Önkormányzat költségvetési támogatása</t>
  </si>
  <si>
    <t>VIII.</t>
  </si>
  <si>
    <t>102. cím összesen:</t>
  </si>
  <si>
    <t>Önkormányzat</t>
  </si>
  <si>
    <t>1. Polgármesteri keret</t>
  </si>
  <si>
    <t>1. Helyi önkormányzat általános működésének és ágazati feladatainak támogatása</t>
  </si>
  <si>
    <t>I. alcím összesen:</t>
  </si>
  <si>
    <t>II. alcím összesen:</t>
  </si>
  <si>
    <t>III. alcím összesen:</t>
  </si>
  <si>
    <t>IV. alcím összesen:</t>
  </si>
  <si>
    <t>VI. alcím összesen:</t>
  </si>
  <si>
    <t>VII. alcím összesen:</t>
  </si>
  <si>
    <t>VIII. alcím összesen:</t>
  </si>
  <si>
    <t>KÖH Dombóvár</t>
  </si>
  <si>
    <t>kötelező
feladat</t>
  </si>
  <si>
    <t>önként vállalt
feladat</t>
  </si>
  <si>
    <t>eredeti ei.</t>
  </si>
  <si>
    <t>Dombóvári Közös Önkormányzati Hivatal</t>
  </si>
  <si>
    <t>Ellátottak pénzbeli juttatásai</t>
  </si>
  <si>
    <t>Egyéb működési célú kiadások</t>
  </si>
  <si>
    <t>Beruházások</t>
  </si>
  <si>
    <t>Egyéb felhalmozási célú kiadások</t>
  </si>
  <si>
    <t>Beruházások összesen:</t>
  </si>
  <si>
    <t>1. Egyéb működési célú támogatások államháztartáson belülre</t>
  </si>
  <si>
    <t>2. Egyéb működési célú támogatások államháztartáson kívülre</t>
  </si>
  <si>
    <t>Munkaadókat terh. járulékok és szoc. hozzájár. adó</t>
  </si>
  <si>
    <t>V. alcím összesen:</t>
  </si>
  <si>
    <t>4. Általános tartalék</t>
  </si>
  <si>
    <t>Átvett pénzeszközök</t>
  </si>
  <si>
    <t>Közhatalmi bevételek</t>
  </si>
  <si>
    <t>1. Felhalmozási célú kölcsönök visszatérülése</t>
  </si>
  <si>
    <t>1. Helyi adók</t>
  </si>
  <si>
    <t>VI. alcím összesen</t>
  </si>
  <si>
    <t>IX.</t>
  </si>
  <si>
    <t>3. Céltartalék felhalmozási célú</t>
  </si>
  <si>
    <t>3. Céltartalék működési célú</t>
  </si>
  <si>
    <t>Felhalmozási bevételek</t>
  </si>
  <si>
    <t>1.2. Építményadó</t>
  </si>
  <si>
    <t>1.3. Idegenforgalmi adó</t>
  </si>
  <si>
    <t>1.1. Magánszemélyek kommunális adója</t>
  </si>
  <si>
    <t>1.4. Iparűzési adó</t>
  </si>
  <si>
    <t>1. Működési célú átvett pénzeszközök államháztartáson kívülről</t>
  </si>
  <si>
    <t>2. Felhalmozási célú átvett pénzeszközök államháztartáson kívülről</t>
  </si>
  <si>
    <t>2. Működési célú kölcsönök visszatérülése</t>
  </si>
  <si>
    <t>1. Egyéb felhalmozási célú támogatások államháztartáson belülre</t>
  </si>
  <si>
    <t>2. Egyéb felhalmozási célú támogatások államháztartáson kívülre</t>
  </si>
  <si>
    <t>KÖH Szakcsi Kirendeltsége</t>
  </si>
  <si>
    <t>Munkaadókat terhelő járulékok és szociális hozzájárulási adó</t>
  </si>
  <si>
    <t>1.1. Működési hitel</t>
  </si>
  <si>
    <t>1.2. Beruházási hitel</t>
  </si>
  <si>
    <t>1.3. Likvid hitel</t>
  </si>
  <si>
    <t>Finanszírozási kiadások</t>
  </si>
  <si>
    <t>1. Hitelek, kölcsönök törlesztése</t>
  </si>
  <si>
    <t>2. Államháztartáson belüli megelőlegezések visszafizetése</t>
  </si>
  <si>
    <t>2. Intézményi vagyonbiztosítás és felelősségbiztosítás</t>
  </si>
  <si>
    <t>1. Települési támogatás</t>
  </si>
  <si>
    <t>1.1. Lakhatáshoz kapcsolódó rendszeres kiadások viseléséhez</t>
  </si>
  <si>
    <t>2. Köztemetés</t>
  </si>
  <si>
    <t>3. Kiegészítő gyermekvédelmi támogatás</t>
  </si>
  <si>
    <t>Működési bevételek</t>
  </si>
  <si>
    <t>1. Dombóvár</t>
  </si>
  <si>
    <t>2. Szakcsi Kirendeltség</t>
  </si>
  <si>
    <t>2. Önkormányzati vagyon bérbeadás</t>
  </si>
  <si>
    <t>2.1. Víziközmű bérleti díj</t>
  </si>
  <si>
    <t>2.1.1. Szennyvízhálózat</t>
  </si>
  <si>
    <t>2.1.2. Ivóvízhálózat</t>
  </si>
  <si>
    <t>1.4. Közös Önkormányzati Hivatal működtetéséhez hozzájárulás</t>
  </si>
  <si>
    <t>1.4.1. Közös Önkormányzati Hivatal működtetéséhez hozzájárulás Szakcs</t>
  </si>
  <si>
    <t>1.4.2. Közös Önkormányzati Hivatal működtetéséhez hozzájárulás Lápafő</t>
  </si>
  <si>
    <t>1.4.3. Közös Önkormányzati Hivatal működtetéséhez hozzájárulás Várong</t>
  </si>
  <si>
    <t>1.1. Lakásszerzési támogatás, szociális kölcsön</t>
  </si>
  <si>
    <t>Működési és fejlesztési célú bevételek és kiadások mérlege</t>
  </si>
  <si>
    <t>Bevételek megnevezése</t>
  </si>
  <si>
    <t>Kiadások megnevezése</t>
  </si>
  <si>
    <t>Munkaadókat terh. jár. és szoc. hozzáj. adó</t>
  </si>
  <si>
    <t>Állami hozzájárulások és támogatások</t>
  </si>
  <si>
    <t>Működési célú kölcsönök visszatérülése</t>
  </si>
  <si>
    <t>Rövidlejáratú hitel visszafizetése</t>
  </si>
  <si>
    <t>Működési célú maradvány</t>
  </si>
  <si>
    <t>Működési célú hitelfelvétel</t>
  </si>
  <si>
    <t>Működési célú kölcsönnyújtás</t>
  </si>
  <si>
    <t>Államháztartáson belüli megelőlegezések</t>
  </si>
  <si>
    <t>Céltartalék, általános tartalék (működési)</t>
  </si>
  <si>
    <t>Működési célú bevételek összesen:</t>
  </si>
  <si>
    <t>Működési célú kiadások összesen:</t>
  </si>
  <si>
    <t>Felhalmozási célú támogatás államháztartáson belülről</t>
  </si>
  <si>
    <t>Felhalmozási célú kölcsönök visszatérülése</t>
  </si>
  <si>
    <t>Felhalmozási célú maradvány</t>
  </si>
  <si>
    <t>Felhalmozási célú hitelfelvétel</t>
  </si>
  <si>
    <t>Felhalmozási célú kölcsönnyújtás</t>
  </si>
  <si>
    <t>Felhalmozási célú bevételek összesen:</t>
  </si>
  <si>
    <t>Felhalmozási célú kiadások összesen:</t>
  </si>
  <si>
    <t>Önkormányzati bevételek</t>
  </si>
  <si>
    <t>Önkormányzati kiadások</t>
  </si>
  <si>
    <t>Államháztartáson belüli megelőleg. visszafizetése</t>
  </si>
  <si>
    <t>Felújítások összesen:</t>
  </si>
  <si>
    <t>Felhalmozási célú hitel törlesztés</t>
  </si>
  <si>
    <t>1.1. Ingatlanok értékesítése</t>
  </si>
  <si>
    <t>1.2. Biztos Kezdet Gyerekház működtetésére</t>
  </si>
  <si>
    <t>1.3. Fogorvosi rendelő fenntartásához hozzájárulás</t>
  </si>
  <si>
    <t>1. Kisértékű tárgyi eszköz beszerzés</t>
  </si>
  <si>
    <t>1.1. Nemzeti Egészségbiztosítási Alapkezelőtől finanszírozás (védőnői ellátás, iskola eü.)</t>
  </si>
  <si>
    <t>Céltartalék (felhalmozási)</t>
  </si>
  <si>
    <t>Egyéb felhalmozási célú kiadások Áht-n belülre, Áht-n kívülre</t>
  </si>
  <si>
    <t>Egyéb működési célú kiadások Áht-n belülre, Áht-n kívülre</t>
  </si>
  <si>
    <t>1. Működési célú maradvány</t>
  </si>
  <si>
    <t>2. Felhalmozási célú maradvány</t>
  </si>
  <si>
    <t>1.1. Általános feladatok támogatása (B111)</t>
  </si>
  <si>
    <t>1.2. Egyes köznevelési feladatok támogatása (B112)</t>
  </si>
  <si>
    <t>2.1. Tinódi Ház Nkft. működésére</t>
  </si>
  <si>
    <t>2.2. Sporttámogatások sportszervezeteknek</t>
  </si>
  <si>
    <t>Finanaszírozási bevételek</t>
  </si>
  <si>
    <t>3. Hitelek</t>
  </si>
  <si>
    <t>3.1. Működési hitel</t>
  </si>
  <si>
    <t>3.2. Beruházási hitel</t>
  </si>
  <si>
    <t>3.3. Likvid hitel</t>
  </si>
  <si>
    <t>Támogatások államháztartáson belülről</t>
  </si>
  <si>
    <t>1. Egyéb működési célú támogatások államháztartáson belülről</t>
  </si>
  <si>
    <t>2. Egyéb felhalmozási célú támogatások államháztartáson belülről</t>
  </si>
  <si>
    <t>1.4.4. Közös Önkormányzati Hivatal működtetéséhez hozzájárulás Csikóstőttős</t>
  </si>
  <si>
    <t>1.4.5. Közös Önkormányzati Hivatal működtetéséhez hozzájárulás Attala</t>
  </si>
  <si>
    <t>KÖH Attalai Kirendeltsége</t>
  </si>
  <si>
    <t>KÖH Csikóstőttősi Kirendeltsége</t>
  </si>
  <si>
    <t>1. Választott tisztségviselők juttatásai</t>
  </si>
  <si>
    <t>3. Farkas Attila Uszoda</t>
  </si>
  <si>
    <t>4. Egyéb foglalkoztatottak személyi juttatásai</t>
  </si>
  <si>
    <t>4. Egyéb foglalkoztatottak</t>
  </si>
  <si>
    <t>5. A helyi önkormányzatok előző évi elszámolásából származó kiadások</t>
  </si>
  <si>
    <t>Működési célú támogatások államháztartáson belülről</t>
  </si>
  <si>
    <t>Dombóvári Művelődési Ház, Könyvtár és Helytörténeti Gyűjtemény</t>
  </si>
  <si>
    <t>1.2. Rendkívüli települési támogatás temetési költségek finanszírozásához</t>
  </si>
  <si>
    <t>1.3. Rendkívüli települési támogatás megélhetésre</t>
  </si>
  <si>
    <t>1.4. Iskolakezdési támogatás</t>
  </si>
  <si>
    <t>1.5. Utazási támogatás</t>
  </si>
  <si>
    <t>1.6. Gyermek születésének támogatása</t>
  </si>
  <si>
    <t>1.1. Dombóvári Szociális és Gyermekjóléti Intézményfenntartó Társulás működésre átadott pénzeszköz</t>
  </si>
  <si>
    <t>1.2. Dombóvári Illyés Gyula Gimnázium Tehetséggondozó Program támogatása</t>
  </si>
  <si>
    <t>1.4. Bursa Hungarica felsőoktatási ösztöndíj pályázat</t>
  </si>
  <si>
    <t>2.1. Helyi védelem alatt álló épületek felújítására</t>
  </si>
  <si>
    <t>3. Lakásgazdálkodás, bérleményhasznosítás - bérleti díj bevételek</t>
  </si>
  <si>
    <t>4. Közterület használati díj</t>
  </si>
  <si>
    <t>5. Terület bérbeadás</t>
  </si>
  <si>
    <t>6. Távhő vagyon bérbeadásából származó bevételek</t>
  </si>
  <si>
    <t>7. Farkas Attila Uszoda bevétele</t>
  </si>
  <si>
    <t>8. Balatonfenyvesi Ifjúsági Tábor bérbeadása</t>
  </si>
  <si>
    <t>2. Egyéb közhatalmi bevételek</t>
  </si>
  <si>
    <t>2.1. pótlék, bírság</t>
  </si>
  <si>
    <t>2.2. talajterhelési díj</t>
  </si>
  <si>
    <t>1.6. Nyári diákmunka támogatása</t>
  </si>
  <si>
    <t>1.7. Kiegészítő gyermekvédelmi támogatás</t>
  </si>
  <si>
    <t>2.1. Döbrököztől szennyvízcsatlakozáshoz hozzájárulás</t>
  </si>
  <si>
    <t>2.2. Farkas Attila Uszoda vizesblokk és öltöző felújítására</t>
  </si>
  <si>
    <t>9. Gunarasi gyerektábor</t>
  </si>
  <si>
    <t>1.3. Régészeti tárgyú pályázathoz önrész biztosítása</t>
  </si>
  <si>
    <t>4. Államháztartáson belüli megelőlegezések (B814)</t>
  </si>
  <si>
    <t>2.1. Lakosságtól szennyvízhozzájárulás</t>
  </si>
  <si>
    <t>2. Sportpályák (Szuhay Sportcentrum)</t>
  </si>
  <si>
    <t>1.5. Közfoglalkozatás támogatás, EFOP támogatás</t>
  </si>
  <si>
    <t>államig.
feladat</t>
  </si>
  <si>
    <t>1.11. Kaposmenti Társulástól kapott támogatás</t>
  </si>
  <si>
    <t>2.3. TOP-7.1.1-16-H-ERFA-2018-00032  Szigeterdei Közösségi Tér kialakítása</t>
  </si>
  <si>
    <t>2.4. TOP-1.1.1-16-TL1-2017-00002  Tüskei iparterület fejlesztése és új iparterület kialakítása</t>
  </si>
  <si>
    <t>1.1. Dombóvári HACS Egyesületnek nyújtott visszatérítendő támogatás</t>
  </si>
  <si>
    <t>1.2. Hamulyák Közalapítványnak nyújtott visszatérítendő támogatás</t>
  </si>
  <si>
    <t>2. Kisértékű tárgyi eszköz beszerzés</t>
  </si>
  <si>
    <t>3. Kisértékű tárgyi eszköz beszerzés Szakcs</t>
  </si>
  <si>
    <t>5. TOP-7.1.1-16-H-ERFA-2018-00032  Szigeterdei Közösségi Tér kialakítása</t>
  </si>
  <si>
    <t>1.7. Krízishelyzeti támogatás</t>
  </si>
  <si>
    <t>1.5. TOP-5.2.1-15-TL1-2016-00001 pályázat támogatási előleg visszafizetése</t>
  </si>
  <si>
    <t>3.1. TOP-7.1.1-16-H-ERFA-2018-00032  Szigeterdei Közösségi Tér kialakítása tartalék</t>
  </si>
  <si>
    <t>3.2. TOP-1.1.1-16-TL1-2017-00002  Tüskei iparterület fejlesztése és új iparterület kialakítása tartalék</t>
  </si>
  <si>
    <t>Felhalmozási célú átvett pénzeszközök</t>
  </si>
  <si>
    <t>Működési célú átvett pénzeszközök</t>
  </si>
  <si>
    <t>Eredeti előirányzat</t>
  </si>
  <si>
    <t>1.12. Társulás nettósítási különbözet</t>
  </si>
  <si>
    <t>6. Működési célú visszatérítendő támogatások, kölcsönök nyújtása államháztartáson kívülre</t>
  </si>
  <si>
    <t>2.2. Dombó-Land Kft. tagi kölcsön visszafizetés</t>
  </si>
  <si>
    <t>6. Védőnők</t>
  </si>
  <si>
    <t>7. 2023. évi szolidaritási hozzájárulás</t>
  </si>
  <si>
    <t>Több éves kihatással járó döntések számszerűsítése</t>
  </si>
  <si>
    <t>Rövid lejáratú  hitelek, kölcsönök törlesztése</t>
  </si>
  <si>
    <t>Ft</t>
  </si>
  <si>
    <t>Sorsz.</t>
  </si>
  <si>
    <t>Megnevezés</t>
  </si>
  <si>
    <t>Hitelfelvétel</t>
  </si>
  <si>
    <t>Törlesztések évente</t>
  </si>
  <si>
    <t>2023.</t>
  </si>
  <si>
    <t>2024.</t>
  </si>
  <si>
    <t>2025.</t>
  </si>
  <si>
    <t>2026.</t>
  </si>
  <si>
    <t>2027.</t>
  </si>
  <si>
    <t>2028.</t>
  </si>
  <si>
    <t>2029.</t>
  </si>
  <si>
    <t>Összesen</t>
  </si>
  <si>
    <t>1.</t>
  </si>
  <si>
    <t>2.</t>
  </si>
  <si>
    <t>3.</t>
  </si>
  <si>
    <t>Hosszú lejáratú beruházási hitelek törlesztése</t>
  </si>
  <si>
    <t>Törlesztés
összesen</t>
  </si>
  <si>
    <t>OTP célhitel beruházásokra (1-2-18-4600-0174-4)</t>
  </si>
  <si>
    <t>4.</t>
  </si>
  <si>
    <t>2023. 01.01. nyitóállomány</t>
  </si>
  <si>
    <t>2030.</t>
  </si>
  <si>
    <t>Kezesség típusa</t>
  </si>
  <si>
    <t>Kezességvállalás mértéke/hitelkeret
eFt</t>
  </si>
  <si>
    <t>Kezességvállalás kezdete</t>
  </si>
  <si>
    <t>Kezességvállalás időtartama/ lejárata</t>
  </si>
  <si>
    <t>Csökkenés 2024-ben</t>
  </si>
  <si>
    <t>2023. évi nyitó</t>
  </si>
  <si>
    <t>2023. évi növekedés</t>
  </si>
  <si>
    <t>Csökkenés 2023-ban</t>
  </si>
  <si>
    <t>Csökkenés 2025-ben</t>
  </si>
  <si>
    <t>2021. tény</t>
  </si>
  <si>
    <t>2022. mód. ei.</t>
  </si>
  <si>
    <t>2023. eredeti</t>
  </si>
  <si>
    <t>Felhalmozási célú önkormányzati támogatások</t>
  </si>
  <si>
    <t>3. Foglalkozás-egészségügyi szolgáltatás</t>
  </si>
  <si>
    <t>1.3. Egyes szociális és gyermekjóléti feladatok támogatása (B1131)</t>
  </si>
  <si>
    <t>1.4. Gyermekétkeztetési feladatainak támogatása (B1132)</t>
  </si>
  <si>
    <t>1.5. Kulturális feladatok támogatása (B114)</t>
  </si>
  <si>
    <t>1. Szőlőhegyi kerékpárút II. ütem tervezése</t>
  </si>
  <si>
    <t>103. cím összesen</t>
  </si>
  <si>
    <t>101-103. intézmények összesen</t>
  </si>
  <si>
    <t>102. cím összesen</t>
  </si>
  <si>
    <t>4. Város- és községgazdálkodás</t>
  </si>
  <si>
    <t>5. Helyi utak fenntartása</t>
  </si>
  <si>
    <t>6. Útburkolati jelek festése</t>
  </si>
  <si>
    <t>7. Belvízvédelem, települési vízellátás</t>
  </si>
  <si>
    <t>8. Ingatlanok üzemeltetése</t>
  </si>
  <si>
    <t>9. Köztisztaság, parkfenntartás</t>
  </si>
  <si>
    <t>10. Közterületen lévő fák, fasorok cseréje, telepítése, rendezése, nyesése, eseti fakivágások, növénybeszerzés</t>
  </si>
  <si>
    <t>11. Temetőfenntartás</t>
  </si>
  <si>
    <t>12. Közvilágítás - üzemeltetés, karbantartás, bérleti díj</t>
  </si>
  <si>
    <t>13. Kamatfizetés</t>
  </si>
  <si>
    <t>13.1. Működési hitel után</t>
  </si>
  <si>
    <t>13.2. Beruházási hitel után</t>
  </si>
  <si>
    <t xml:space="preserve">14. Központi orvosi ügyelet </t>
  </si>
  <si>
    <t>15. Városi rendezvények</t>
  </si>
  <si>
    <t>16. Önkormányzati jogalkotás kiadásai</t>
  </si>
  <si>
    <t>17. Helyi tömegközlekedés biztosítása</t>
  </si>
  <si>
    <t>18. Városmarketing és kommunikációs feladatok</t>
  </si>
  <si>
    <t>19. Balatonfenyvesi és Gunarasi Ifjúsági Tábor üzemeltetése</t>
  </si>
  <si>
    <t>19.1. Balatonfenyves</t>
  </si>
  <si>
    <t>19.2. Gunaras</t>
  </si>
  <si>
    <t>20. ÁFA befizetés (építési telkek, víziközmű bérleti díj)</t>
  </si>
  <si>
    <t>21. Sportpályák üzemeltetése</t>
  </si>
  <si>
    <t>22. Településrendezési eszközök felülvizsgálata és módosítása</t>
  </si>
  <si>
    <t>23. TOP-5.2.1-15-TL1-2016-00001 A dombóvári Mászlony szegregátumban élők társadalmi integrációjának helyi szintű komplex programja</t>
  </si>
  <si>
    <t>24. TOP-5.2.1-15-TL1-2016-00002 pályázat A dombóvári Szigetsor-Vasút szegregátumban élők társadalmi integrációjának helyi szintű komplex programja</t>
  </si>
  <si>
    <t>25. TOP-5.2.1-15-TL1-2016-00003 A dombóvári Kakasdomb-Erzsébet utca szegregációval veszélyeztetett területén élők társadalmi integrációjának helyi szintű komplex programja</t>
  </si>
  <si>
    <t>26. TOP-4.3.1-15-TL1-2016-00002 Mászlony - oázis az agrársivatagban</t>
  </si>
  <si>
    <t>27. TOP-4.3.1-15-TL1-2016-00003 A dombóvári Szigetsor-Vasút szegregátumok rehabilitációja</t>
  </si>
  <si>
    <t>28. TOP-4.3.1-15-TL1-2016-00004 DARK projekt</t>
  </si>
  <si>
    <t>2. Közvilágítás bővítése, korszerűsítése, fejlesztése</t>
  </si>
  <si>
    <t>3. Térfigyelő kamerarendszer központi egységének áthelyezése</t>
  </si>
  <si>
    <t>1. Tárgyi eszköz beszerzés</t>
  </si>
  <si>
    <t>2.3. Mecsek Dráva Önkormányzati Társulás 2023. évi hozzájárulás</t>
  </si>
  <si>
    <t>2.4. Civil szervezetek támogatása</t>
  </si>
  <si>
    <t>2.5. Kapos Alapítvány támogatása</t>
  </si>
  <si>
    <t>2.6. Dombóvári Városszépítő és Városvédő Egyesület támogatása</t>
  </si>
  <si>
    <t>2.7. Dombóvári Polgárőr Egyesület támogatása</t>
  </si>
  <si>
    <t>2.8. Dombóvári Ifjúsági Fúvószenekar támogatása</t>
  </si>
  <si>
    <t>2.9. Dombóvári Városgazdálkodási Nkft. részére önerő közfoglalkoztatáshoz</t>
  </si>
  <si>
    <t>2.10. Szociális konyha szolgáltatás bevétellel nem fedezett kiadásaira Magyar Máltai Szeretetszolgálat Egyesületnek</t>
  </si>
  <si>
    <t>2. Százszorszép Tagóvodában megvalósuló beruházások</t>
  </si>
  <si>
    <t>1. Művelődési Ház pinceszínház felújítása</t>
  </si>
  <si>
    <t>1.2. Dombóvári Művelődési Ház, Könyvtár és Helytörténeti Gyűjtemény</t>
  </si>
  <si>
    <t>1.3. Dombóvári Közös Önkormányzati Hivatal</t>
  </si>
  <si>
    <t>1.1. Dombóvári Szivárvány Óvoda és Bölcsőde</t>
  </si>
  <si>
    <t>2.1. Dombóvári Szivárvány Óvoda és Bölcsőde</t>
  </si>
  <si>
    <t>2.2. Dombóvári Művelődési Ház, Könyvtár és Helytörténeti Gyűjtemény</t>
  </si>
  <si>
    <t>2.3. Dombóvári Közös Önkormányzati Hivatal</t>
  </si>
  <si>
    <t>1. Működési bevételek (segélyek visszafizetése, köztemetés, közig. bírság végrehajtásából, egyéb bevételek)</t>
  </si>
  <si>
    <t>2. Közvetített szolgáltatások ellenértéke (háziorvosi rendelők, tábor)</t>
  </si>
  <si>
    <t>10. Gyermekétkeztetés bevétele</t>
  </si>
  <si>
    <t>Ft-ban</t>
  </si>
  <si>
    <t>Szerződő fél</t>
  </si>
  <si>
    <t>Tárgy</t>
  </si>
  <si>
    <t>Lejárat/ teljesítési határidő</t>
  </si>
  <si>
    <t>Várható összeg (Ft/év) 2023.</t>
  </si>
  <si>
    <t>Összeg (Ft/év)  2022.</t>
  </si>
  <si>
    <t>infláció:</t>
  </si>
  <si>
    <t>5T Építészeti és Városfejlesztési Kft.</t>
  </si>
  <si>
    <t>Településrendezési tervek módosítása</t>
  </si>
  <si>
    <t>AEGON Magyarország Zrt</t>
  </si>
  <si>
    <t>Vagyonbiztosítás</t>
  </si>
  <si>
    <t>határozatlan</t>
  </si>
  <si>
    <t>Agrokemi Rt.</t>
  </si>
  <si>
    <t>gesztenyefák, platánfák, nyírfák, örökzöldek permetezése</t>
  </si>
  <si>
    <t>2022.12.31. (évente új szerződés)</t>
  </si>
  <si>
    <t>Allianz Hungária Zrt.</t>
  </si>
  <si>
    <t>casco - AHB952289006 gfb - SSE-546</t>
  </si>
  <si>
    <t>ATEV Fehérjefeldolgozó Rt.</t>
  </si>
  <si>
    <t>állati hulladék szállítása</t>
  </si>
  <si>
    <t>Balaskó János e.v.</t>
  </si>
  <si>
    <t>városi fúvószenekar felkészítése</t>
  </si>
  <si>
    <t>2022.12.31 (évente új szerződés)</t>
  </si>
  <si>
    <t>Balaskó Roland e.v.</t>
  </si>
  <si>
    <t>Önkormányzat és az általa fenntartott intézmények részére villanyszerelési, karbantartási munkák</t>
  </si>
  <si>
    <t>Baudai Építőipari Szolgáltató és Kereskedelmi Kft.</t>
  </si>
  <si>
    <t>II. részajánlati kör: Közösségi szőlészeti oktatóközpont és gazdasági tároló épület kialakítása - TOP-4.3.1-15-TL1-2016-00004 DARK - Kakasdomb-Erzsébet u.</t>
  </si>
  <si>
    <t>III. részajánlati kör: volt népkonyha épületének bontása - TOP-4.3.1-15-TL1-2016-00004 DARK - Kakasdomb-Erzsébet u.</t>
  </si>
  <si>
    <t>I. részajánlati kör: Szigetsor-Vasút szegregátumok rehabilitációja_III. - TOP-4.3.1-15-TL1-2016-00003</t>
  </si>
  <si>
    <t>munkaterület átadásától számított 270 naptári nap</t>
  </si>
  <si>
    <t>II. részajánlati kör: Szigetsor-Vasút szegregátumok rehabilitációja_III. - TOP-4.3.1-15-TL1-2016-00003</t>
  </si>
  <si>
    <t>BIOKOM Nonprofit Kft.</t>
  </si>
  <si>
    <t>32 m3-es konténer bérlete-Lucza hegyi hulladékudvar (zöldhulladékhoz), 15 m3-es konténer bérlete-Lucza hegyi hulladékudvar (padkaszemét gyűjtéséhez), 7 m3-es konténer bérlete-Lucza hegy (építési törmelékhez)</t>
  </si>
  <si>
    <t>zöldhulladék szállítása, ártalmatlanítása</t>
  </si>
  <si>
    <t>úttisztításból származó hulladék szállítása, ártalmatlanítása</t>
  </si>
  <si>
    <t xml:space="preserve">Építési törmelék szállítása, ártalmatlanítása </t>
  </si>
  <si>
    <t>BONYPLAN Beruházás-szervező és lebonyolító. Mérnöki Szolgáltató Bt.</t>
  </si>
  <si>
    <t>műszaki ellenőri feladatok-TOP-4.1.1-15-TL1-2020-00028, Szabadság u. 2. orvosi rendelő felújítása, 2.rész: beruházás II. üteme</t>
  </si>
  <si>
    <t>kivitelezéshez igazodóan</t>
  </si>
  <si>
    <t>Bölcsészettudományi Kutatóközpont</t>
  </si>
  <si>
    <t>dombói vár 2022. évi ásatási költségeinek fedezésére benyújtott pályázathoz önrész</t>
  </si>
  <si>
    <t>támogatói okirat BTK által az Önkormányzat részére megküldött példényának kézhezvételét követő 8 nap</t>
  </si>
  <si>
    <t>Calendula Patika Bt.</t>
  </si>
  <si>
    <t>Kórház u. 74. emeleti rész (159,2 m2) bérlete + rezsi költség - 2022.07.18-2023.06.30. (Szabadság u. 2. felújítás miatt)</t>
  </si>
  <si>
    <t>Csillag Társasház IB.</t>
  </si>
  <si>
    <t>vill. hálózat haszn. díja (térfigyelő r.)</t>
  </si>
  <si>
    <t>közös költség-Csillagház (bérlakások)</t>
  </si>
  <si>
    <t>Czétány László</t>
  </si>
  <si>
    <t>energetikai tanúsítvány-önkormányzati ingatlanok</t>
  </si>
  <si>
    <t>Czinege és Társa Szolg. Bt.</t>
  </si>
  <si>
    <t>önkormányzat által kijelölt ingatlanok értékbecslése</t>
  </si>
  <si>
    <t>DOMBÓ-LAND KFT.</t>
  </si>
  <si>
    <t>tájékoztatási és nyilvánossági feladatok-Ady u., Fő u. I. ütem, Fő u. II. ütem csapadékvíz-elvezető rendszer rekonstrukciója, TOP-2.1.3-16-TL1-2021-00023, TOP-2.1.3-16-TL1-2021-00024, TOP-2.1.3-16-TL1-2021-00025</t>
  </si>
  <si>
    <t>projekt fizikai befejezésének napja</t>
  </si>
  <si>
    <t>Dombó Pál Lakásépítő és Fenntartó</t>
  </si>
  <si>
    <t>közös ktg-Pannónia u. 34., 38. (hőközpontok), Pannónia u. 25.3. (raktár)</t>
  </si>
  <si>
    <t>közös költség Ady u. 8-12. üzlethelyiség</t>
  </si>
  <si>
    <t>közös ktg.-bérlakások (Liget ltp. 6/B., Pannónia u. 14. 2/5.)</t>
  </si>
  <si>
    <t>Dombóvár Hunyadi Téri Buszváró Üzletház</t>
  </si>
  <si>
    <t>közös költség-Hunyadi téri buszmegálló</t>
  </si>
  <si>
    <t>Dombóvárhő Kkt.</t>
  </si>
  <si>
    <t>bérlakások fűtése</t>
  </si>
  <si>
    <t>fűtés díja-Pannónia út 7. 2 lh. (üres üzlethelyiség)</t>
  </si>
  <si>
    <t>fűtési díj-Pannónia út 27. 4 lh (hőközpont)</t>
  </si>
  <si>
    <t>fűtés díja-Hunyadi tér 32. 4 lh. (üres üzlethelyiség)</t>
  </si>
  <si>
    <t>fűtési díj-Pannónia út 5. 3 lh. (védőnő)</t>
  </si>
  <si>
    <t>Dombóvári Evangélikus Általános Iskola és Alapfokú Művészeti Iskola</t>
  </si>
  <si>
    <t>diák helyi-járatos bérlet-települési támogatás</t>
  </si>
  <si>
    <t>Dombóvári Illyés Gyula Gimnáziumért Alapítvány</t>
  </si>
  <si>
    <t>Gimnáziumi Tehetséggondozó Program</t>
  </si>
  <si>
    <t>Dombóvári Szent Lukács Kórház</t>
  </si>
  <si>
    <t>Dombóvári Városgazd. Nkft.</t>
  </si>
  <si>
    <t>felújítási hozzájárulás-Kinizsi u. 37. JAM központ "U" alakú épület</t>
  </si>
  <si>
    <t>közfeladatok ellátása</t>
  </si>
  <si>
    <t>vissza nem térítendő támogatás közfoglalkoztatásra</t>
  </si>
  <si>
    <t>Dombóvári Vízmű Kft.</t>
  </si>
  <si>
    <t>Farkas Attila Tanuszoda adás-vétele</t>
  </si>
  <si>
    <t>Ingatlanvásárlás - 947/7 hrsz. \"kivett fűtőmű\"</t>
  </si>
  <si>
    <t>Dombőr Kft.</t>
  </si>
  <si>
    <t>portaszolgálat-Szabadság u. 18.</t>
  </si>
  <si>
    <t>Dr. Alacsony és Társa Kft.</t>
  </si>
  <si>
    <t>védőnői rész takarítása-IV. háziorvosi körzet</t>
  </si>
  <si>
    <t>Dr. Bátori Gyermekorvosi Bt.</t>
  </si>
  <si>
    <t>takarítás: Hóvirág u. (védőnői szolgálat, 30.000,-ft/hó)</t>
  </si>
  <si>
    <t>Dr. Belt Éva</t>
  </si>
  <si>
    <t>takarítás, gázszolgáltatás-III. u. 35. védőnői szolgálat</t>
  </si>
  <si>
    <t xml:space="preserve">dr.  Pucsli és Tsa. Bt. </t>
  </si>
  <si>
    <t>üzemorvosi ellátás</t>
  </si>
  <si>
    <t>iskola eü. feladat</t>
  </si>
  <si>
    <t>Dr. Szenderné Dr. Kotz Hildegard Ágnes</t>
  </si>
  <si>
    <t>Jókai u. 14. 1. (orvosi rendelő) bérlete + rezsi</t>
  </si>
  <si>
    <t>DRV Zrt</t>
  </si>
  <si>
    <t>víz-önkormányzati fogyasztási helyek</t>
  </si>
  <si>
    <t>Eatrend Kft.</t>
  </si>
  <si>
    <t>gyermekétkeztetési feladatok</t>
  </si>
  <si>
    <t>Elektromotive Hungaria Kft.</t>
  </si>
  <si>
    <t>Hunyadi tér 782/6. hrsz. (elektromos autótöltő) karbantartása</t>
  </si>
  <si>
    <t>E.ON Energiaszolgáltató Kft./MVM Next Energiakereskedelmi Zrt.</t>
  </si>
  <si>
    <t>áram-ingatlanok, vízátemelők stb…</t>
  </si>
  <si>
    <t>E.ON Energiaszolgáltató Kft.</t>
  </si>
  <si>
    <t>gáz-ingatlanok</t>
  </si>
  <si>
    <t>Emberi Erőforrás Támogatáskezelő</t>
  </si>
  <si>
    <t>Bursa Hungarica ösztöndíj</t>
  </si>
  <si>
    <t>Emergency Service Egészségügyi Szolgáltató Kft.</t>
  </si>
  <si>
    <t>ügyeleti feladatok ellátása</t>
  </si>
  <si>
    <t>Esküdt Timea ev.</t>
  </si>
  <si>
    <t>rágcsáló, kártevő és rovarirtás város területén, Szuhay SC/Lucza hegyi hulladéklerakó területén legyek írtása</t>
  </si>
  <si>
    <t>Eures Consulting Kft.</t>
  </si>
  <si>
    <t>Dombóvári Szabadidő- és Sportcentrum komplex üzemeltetési és hasznosítási koncepciójának kialakítása</t>
  </si>
  <si>
    <t>projekt fizikai befejezése</t>
  </si>
  <si>
    <t>Gamaterv Mérnökiroda Bt.</t>
  </si>
  <si>
    <t>rehabilitációs környezettervező szakértői feladatok-TOP-4.3.1-15-TL1-2016-00003</t>
  </si>
  <si>
    <t>kivitelezés műszaki átádásának napja</t>
  </si>
  <si>
    <t>Gázt Adunk Kft.</t>
  </si>
  <si>
    <t>védett épület felújításához támogatás</t>
  </si>
  <si>
    <t>Gemenc Bau Tolna Építőipari és Szolgáltató Kft.</t>
  </si>
  <si>
    <t>Újdombóvári utcanyitásokhoz kapcsolódó víziközmű (víz, szennyvíz) tervezési feladatok</t>
  </si>
  <si>
    <t>vízjogi létesítési engedély megszerzésétől számított 60 nap</t>
  </si>
  <si>
    <t>Golden Talk Hungary Kft.</t>
  </si>
  <si>
    <t>rádióműsor készítése-Rádió Plusz Dombóvár</t>
  </si>
  <si>
    <t>Gond-X Kft.</t>
  </si>
  <si>
    <t>Szigeterdei lakótorony 24 órás távfelügyelete</t>
  </si>
  <si>
    <t>biztonságtechn. távfelügy.,műszaki kész./karb.-Termál  u. 5.</t>
  </si>
  <si>
    <t>Govern-Soft Kft.</t>
  </si>
  <si>
    <t>Menza-Pure nyilvántartó rendszer</t>
  </si>
  <si>
    <t>Groupama Garancia Biztosító Zrt.</t>
  </si>
  <si>
    <t>Orvosi felelősségbiztosítás-dr. Pucsli E. (Bajcsy Zs. 5.)</t>
  </si>
  <si>
    <t>Hajós Építész Iroda Kft.</t>
  </si>
  <si>
    <t>Dombóvári Szabadidő- és Sportcentrum kivitelezésére vonatkozó költség- és időkalkuláció elkészítése</t>
  </si>
  <si>
    <t>Dombóvári Szabadidő- és Sportcentrum tervezése</t>
  </si>
  <si>
    <t>2022.06.22 MÓNI!!!!!</t>
  </si>
  <si>
    <t>Halmai József e.v.</t>
  </si>
  <si>
    <t>rágcsáló, kártevő és rovarírtás</t>
  </si>
  <si>
    <t>ITA BONUM Kft.</t>
  </si>
  <si>
    <t>Közgbeszerzési eljárás lebonyoolítása: Dombóvár, Ady E. u. csapadékvíz elvezető rendszer rekonstrukciója - TOP-2.1.3-16-TL1-2021-00023</t>
  </si>
  <si>
    <t>közbeszerzés eredményes lefolytatásáig</t>
  </si>
  <si>
    <t>Közgbeszerzési eljárás lebonyoolítása: Dombóvár, Fő u. I. ütem nyugati utcarész csapadékvíz elvezető rendszer rekonstrukciója - TOP-2.1.3-16-TL1-2021-00024</t>
  </si>
  <si>
    <t>Közgbeszerzési eljárás lebonyoolítása: Dombóvár, Fő u. II. ütem keleti utcarész csapadékvíz elvezető rendszer rekonstrukciója - TOP-2.1.3-16-TL1-2021-00025</t>
  </si>
  <si>
    <t>Juhász-Terv Tervező és Vállalkozó Bt.</t>
  </si>
  <si>
    <t>Újdombóvári utcanyitásokhoz kapcsolódó közlekedési építmények és csapadékvíz elvezetés engedélyezési és kiviteli terveinek elkészítése</t>
  </si>
  <si>
    <t>építési engedély megszerzésétől számított 60 naptári nap</t>
  </si>
  <si>
    <t>Kapos-Menti Területi- és Vidékfejlesztési Társulás</t>
  </si>
  <si>
    <t>Kapos-menti Hírlevél hozzájárulás</t>
  </si>
  <si>
    <t>Tolnatáj TV Kapos-menti Magazin</t>
  </si>
  <si>
    <t>tagdíj</t>
  </si>
  <si>
    <t>Karádi-Kontroll Kft</t>
  </si>
  <si>
    <t>Tűzvédelmi feladatok elvégzése</t>
  </si>
  <si>
    <t>Közép-Dunántúli Vizügy.Ig.Balatoni Kir.</t>
  </si>
  <si>
    <t>mederhasználat díja Balatonfenyves tábor</t>
  </si>
  <si>
    <t>K-PLAN Építő Szolgáltató és Kereskedelmi KFt.</t>
  </si>
  <si>
    <t>"volt zeneiskola épületének felújítása" tárgyú beuházás kivitelezése (még nem lépett hatályba a szerződés)</t>
  </si>
  <si>
    <t>180 nap</t>
  </si>
  <si>
    <t>Szabadság utcai orvosi rendelő felújítása II. ütem tárgyú beruházás kivitelezése (még nem lépett hatályba a szerződés)</t>
  </si>
  <si>
    <t>8 hónap</t>
  </si>
  <si>
    <t>Maár Építész Iroda Kft.</t>
  </si>
  <si>
    <t>műszaki ellenőri feladatok ellátása a TOP-4.3.1-15-TL1-2016-00003 Szigetsor-Vasút szegregátumok rehabilitációja projektben</t>
  </si>
  <si>
    <t>műszaki ellenőri feladatok ellátása magasépítési munkák tekintetében a TOP-4.3.1-15-TL1-2016-00004 "DARK-Dombóvári Akcióterületi Rehabilitáció Kakasdomb-Erzsébet utca szegregációval veszélyeztetett területeken projekt keretében</t>
  </si>
  <si>
    <t>volt Zeneiskola épületének felújítása során műszaki ellenőri feladatok ellátása</t>
  </si>
  <si>
    <t>Magyar Telekom Nyrt.</t>
  </si>
  <si>
    <t>uszoda tűzjelző, telefon</t>
  </si>
  <si>
    <t>Márkus Mérnöki Iroda Kft</t>
  </si>
  <si>
    <t>Műszaki ellenőri feladatok-Kéknefelejcs-Ibolya u. ivóvízhálózat rekonstrukció</t>
  </si>
  <si>
    <t>MÁV Zrt.</t>
  </si>
  <si>
    <t>bérleti díj, ingatlankezelési díj, közüzemi díjak-Földvár u. 35. (1889/21 hrsz., burkolatlan terület)</t>
  </si>
  <si>
    <t>Mecsek-Dráva Önkormányzati Társulás</t>
  </si>
  <si>
    <t>intézmény működtetés támogatása</t>
  </si>
  <si>
    <t>Mediaworks Hungary Zrt.</t>
  </si>
  <si>
    <t>Tolnai Népújságban való megjelenések díja</t>
  </si>
  <si>
    <t>Mezőföldi Regionális Víziközmű Kft.</t>
  </si>
  <si>
    <t>fürdővíz laborvizsgálata-uszoda</t>
  </si>
  <si>
    <t>Mikrolift Kft</t>
  </si>
  <si>
    <t>Hóvirág u. 1. HO felvonó karbantartása</t>
  </si>
  <si>
    <t>MMSZ Esterházy Miklós Technikum</t>
  </si>
  <si>
    <t>Mobil Adat Kft.</t>
  </si>
  <si>
    <t>kiskassza díjcsomag-uszoda</t>
  </si>
  <si>
    <t>Multi Alarm Zrt.</t>
  </si>
  <si>
    <t>térfigyelő kamerarendszer és térfigyelő központ féléves ciklusonkénti karbantartása és hibajavítása</t>
  </si>
  <si>
    <t>Borsos M. utca és a Köztársaság u. kereszteződésében szükséges oszlopállítás és a már meglévő térfigyelő technika áthelyezése</t>
  </si>
  <si>
    <t>MVM Next Energiakereskedelmi Zrt.</t>
  </si>
  <si>
    <t>gáz-bérlakások, Szabadság u. 4.</t>
  </si>
  <si>
    <t>Nagyné Messinger Tímea</t>
  </si>
  <si>
    <t>szakmai vezetői feladatok-TOP-5.2.1-15-TL1-2016-00001 (Mászlony szegregátum társadalmi integrációja)</t>
  </si>
  <si>
    <t>szakmai vezetői feladatok-TOP-5.2.1-15-TL1-2016-00002 (Szigetsor-Vasút szegregátum társadalmi integrációja)</t>
  </si>
  <si>
    <t>szakmai vezetői feladatok-TOP-5.2.1-15-TL1-2016-00003 (Kakasdomb-Erzsébet u. társadalmi integrációja)</t>
  </si>
  <si>
    <t>Nemcsényi Gábor e.v.</t>
  </si>
  <si>
    <t>webdesign, weblap tervezése, weblap karbantartása</t>
  </si>
  <si>
    <t>Nemzeti Hulladékgazdálkodási Koordináló és Vagyonkezelő Zrt.</t>
  </si>
  <si>
    <t>Hulladékszállítás-városi kukák ürítése, Hóvirág u. házoirvosi rendelő, Baltonfenyves, hulladékudvar…</t>
  </si>
  <si>
    <t>Népköztársaság u. 23.- 25.- 27.- 29. Társasház</t>
  </si>
  <si>
    <t>közös költség Pannónia u 23-29 garázs</t>
  </si>
  <si>
    <t>közös költség Pannónia u. 27. üzlet</t>
  </si>
  <si>
    <t>Népköztársaság u. 40. Társasház</t>
  </si>
  <si>
    <t>közös költség-Pannónia út 40. fsz/1. (raktárként használt üzlethelyiség)</t>
  </si>
  <si>
    <t>Őri Gábor e.v.</t>
  </si>
  <si>
    <t>rendezvényekhez kapcsolódó szolgáltatások: grafikai anyagok tervezése, fotódokumentáció készítése...</t>
  </si>
  <si>
    <t>Petrónus Vagyonértékelő és Szolgáltató Kft.</t>
  </si>
  <si>
    <t>értékbecslés-önkormányzat által kijelölt ingatlanok-</t>
  </si>
  <si>
    <t>Pécsi Környezetvédelmi Kft.</t>
  </si>
  <si>
    <t>veszélyes hulladék szállítás /védőnők</t>
  </si>
  <si>
    <t>Radics Ferenc ev.</t>
  </si>
  <si>
    <t>értékbecslés-önkormányzat által kijelölt ingatlanok</t>
  </si>
  <si>
    <t>Reality - Property Kft.</t>
  </si>
  <si>
    <t>RP-SC Holding Szolgáltató Kft.</t>
  </si>
  <si>
    <t>Bezerédj u. ivóvízvezeték rekonstrukció I. ütem II. eljárás (pótmunka)</t>
  </si>
  <si>
    <t>Sió-Procent Kft.</t>
  </si>
  <si>
    <t>energetikai tanúsítás/audit elvégzése a beruházás utáni állapotra-TOP-4.3.1-15-TL1-2016-00002</t>
  </si>
  <si>
    <t>kivitelezés műszaki átadásának napja</t>
  </si>
  <si>
    <t>Szekszárdi Tankerületi Központ</t>
  </si>
  <si>
    <t>Szent Orsolya Rendi Bencés Általános Iskola, Alapfokú Művészeti Iskola és Kollégium</t>
  </si>
  <si>
    <t>Tamási Tankerületi Központ</t>
  </si>
  <si>
    <t>diák helyi-járatos bérlet-települési támogatás (Illyés Gyula Gimnázium, József Attila Ált. Iskola., Belvárosi Ált. Iskola)</t>
  </si>
  <si>
    <t>Tanácsköztársaság tér 7-9. társasház</t>
  </si>
  <si>
    <t>közös költség-Platán tér 9. fsz. 3. (bérlakás)</t>
  </si>
  <si>
    <t>TANK-SZER Kft</t>
  </si>
  <si>
    <t>üzemanyag-Szuhay SC (SSE-546, traktorok)</t>
  </si>
  <si>
    <t>"Tarai" Orvosi, Ápolási és Kereskedelmi Bt.</t>
  </si>
  <si>
    <t>Tarr KFT.</t>
  </si>
  <si>
    <t>Internet előfizetési díj-Szuhay Sportcentrum, Hunyadi tér 23-25., Fő u. 36. (free wi-fi), wifi4eu…</t>
  </si>
  <si>
    <t>Internet előfizetési díj-Bajcsy Zs. u. 2.</t>
  </si>
  <si>
    <t>Tárnok-Trans Kft.</t>
  </si>
  <si>
    <t>Helyi személyszállítási közszolgáltatás ellátása</t>
  </si>
  <si>
    <t>Társasház Dombóvár Kórház u. 2.</t>
  </si>
  <si>
    <t>Kórház u. 2. homlokzat javítás és festés</t>
  </si>
  <si>
    <t>Társasház Hunyadi tér 30-32.</t>
  </si>
  <si>
    <t>közös költség-Hunyadi tér 30-32. (6 üzlethelyiség)</t>
  </si>
  <si>
    <t>Társasház Hunyadi tér 34 A/B.</t>
  </si>
  <si>
    <t>közös költség-Hunyadi tér 34. (üzlet)</t>
  </si>
  <si>
    <t>Társasház Hunyadi tér 37-41. Népköztársaság 52-56.</t>
  </si>
  <si>
    <t>Pannónia u. 56. rendelő közös ktg.-fel.ellátási szerz. alap.-2021. közös költség-Pannónia u. 54., Pannónia u. 56. (bérlakások)</t>
  </si>
  <si>
    <t>Társasház Kaposszekcső, Liget ltp. 5.</t>
  </si>
  <si>
    <t>közös költség-Liget ltp. 5./A, B, C lépcsőházak (bérlakások)</t>
  </si>
  <si>
    <t>Tender Terv Kft.</t>
  </si>
  <si>
    <t>Dombóvár csapadékvíz elvezető rendszer rekonstrukciójának tervezése 1. rész (Ady u.) - TOP-2.1.3-16-TL1-2021-00023</t>
  </si>
  <si>
    <t>utolsó engedély kézhezvételének napjától számított 14 naptári nap</t>
  </si>
  <si>
    <t>Dombóvár csapadékvíz elvezető rendszer rekonstrukciójának tervezése 2. rész (Fő u. I. ütem) - TOP-2.1.3-16-TL1-2021-00024</t>
  </si>
  <si>
    <t>Dombóvár csapadékvíz elvezető rendszer rekonstrukciójának tervezése 3. rész (Fő u. II. ütem) - TOP-2.1.3-16-TL1-2021-00025</t>
  </si>
  <si>
    <t>Tolna Megyei Szakképzési Centrum</t>
  </si>
  <si>
    <t>Tóth Temetkezés Kegyeleti Kft.</t>
  </si>
  <si>
    <t>köztemetés</t>
  </si>
  <si>
    <t>2022.12.28 (lesz új szerződés)</t>
  </si>
  <si>
    <t>U Light ESCO Kft.</t>
  </si>
  <si>
    <t>közvilágítási elemek karbantartása-"aktív"</t>
  </si>
  <si>
    <t>Útvonal 2002 Bt.</t>
  </si>
  <si>
    <t>mélyépítés TOP-4.3.1-15-TL1-2016-00003 Szigetsor-Vasút - műszaki ellenőri feladatok ellátása</t>
  </si>
  <si>
    <t>Varga Szilvia</t>
  </si>
  <si>
    <t>Imázs építés, arculati megjelenés érdekében együttműködés, tanácsadás, sajtómeghívókhoz dokumentumok beszerzése...</t>
  </si>
  <si>
    <t>kommunikációs feladatok ellátása-TOP-5.2.1-15-TL1-2016-00001 Mászlony</t>
  </si>
  <si>
    <t>kommunikációs feladatok ellátása-TOP-5.2.1-15-TL1-2016-00002 Szigetsor-Vasút szegregátum</t>
  </si>
  <si>
    <t>kommunikációs feladatok ellátása-TOP-5.2.1-15-TL1-2016-00003 Kakasdomb-Erzsébet u.</t>
  </si>
  <si>
    <t>Vasútegészségügyi Nkft.</t>
  </si>
  <si>
    <t>7200 Dombóvár, Kandó K. u. 1. sz. alatti rendelő bérleti díja (Dr. Keller Margit fogorvos)</t>
  </si>
  <si>
    <t>Vitarex Stúdió Kft.</t>
  </si>
  <si>
    <t>szoftver átalánydíj-Stefánia Védőnői Nyilvántartó rendszer</t>
  </si>
  <si>
    <t>ZNET Telekom Zrt.</t>
  </si>
  <si>
    <t>AirBusiness 10/10 internet-Víztorony</t>
  </si>
  <si>
    <t>kamerarendszer karbantartása, üzem.-Víztorony</t>
  </si>
  <si>
    <t>Összeg (Ft/év)  2022</t>
  </si>
  <si>
    <t>ABACUS Számítástechnikai Bt.</t>
  </si>
  <si>
    <t>WinSzoc szoftver jogszabálykövetése</t>
  </si>
  <si>
    <t>Albacomp RI Kft.</t>
  </si>
  <si>
    <t>Elektronikus információbiztonsági feladatok ellátása</t>
  </si>
  <si>
    <t>Allianz Hungária Biztosító RT</t>
  </si>
  <si>
    <t>gépjármű-felelősség biztosítás / Derbi segédmotor, XYD, LKU, LOX,THA/, Casco / EIE, LKU/SUZUKI-THA</t>
  </si>
  <si>
    <t>Lechner Nonprofit Kft.</t>
  </si>
  <si>
    <t>TAKARNET adatátv.hálózathoz-hálózati díj és tuladoni lap más</t>
  </si>
  <si>
    <t xml:space="preserve">lekérdezés alapján havonta </t>
  </si>
  <si>
    <t>e-hiteles tuljadoni lap más.,nem hiteles térképmás...-Szakcs</t>
  </si>
  <si>
    <t>Daemia Kft.</t>
  </si>
  <si>
    <t>vírusirtó program Linux operációs rendszer</t>
  </si>
  <si>
    <t>Kaspersky vírus-és spam védelem-licensz</t>
  </si>
  <si>
    <t>Dombóvárhő</t>
  </si>
  <si>
    <t>fűtési díj ( Bezerédj 14.)</t>
  </si>
  <si>
    <t>Dr. Hegedűs és Társa Egészségügyi és Szolg. Bt.</t>
  </si>
  <si>
    <t>üzemorvos-Szakcs</t>
  </si>
  <si>
    <t>DRV</t>
  </si>
  <si>
    <t>vízdíj-hivatal, Szakcs</t>
  </si>
  <si>
    <t>E.ON Energiaszolgáltató Kft./ MVM</t>
  </si>
  <si>
    <t>rendszerhasználati díj-hivatali épületek+szakcs</t>
  </si>
  <si>
    <t>gáz-Szabadság u. 18. (városháza)</t>
  </si>
  <si>
    <t>EURO-PROFIL Kft.</t>
  </si>
  <si>
    <t>Konica Minolta Bizhub 227 fénymásológép üzemeltetése (P1683)</t>
  </si>
  <si>
    <t>Konica Minolta Bizhub 423 fénymásológép üzemeltetése (P1593)</t>
  </si>
  <si>
    <t>Konica Minolta Bizhub 227fénymásológép üzemeltetése (K1476)</t>
  </si>
  <si>
    <t>Konica Minolta Bizhub C224 fénymásológép üzemeltetése (P1586)</t>
  </si>
  <si>
    <t>Konica Minolta Bizhub C454e fénymásoló űzemeltetése (P2509)</t>
  </si>
  <si>
    <t>Konica Minolta Bizhub C454eH fénymásoló űzemeltetése (P2573)</t>
  </si>
  <si>
    <t>HP Designjet T120 A1 Plotter tintasug. nyomtató bérlete (P2218,K1511)</t>
  </si>
  <si>
    <t>Fleetcor Kft (volt SHELL HUNGARY ZRT)</t>
  </si>
  <si>
    <t>üzemanyag, kártyadíj</t>
  </si>
  <si>
    <t>GOND-X Biztonságtechnikai és Kereskedelmi Kft.</t>
  </si>
  <si>
    <t>Távfelügy, készenlét és karb.-Bezerédj u. 14.</t>
  </si>
  <si>
    <t>hivatali diszpécser szolgálat-Szent I. tér 1.</t>
  </si>
  <si>
    <t>bizt.techn távfelügy., műszaki készenlét és karb.-Szab. 18.</t>
  </si>
  <si>
    <t>GreenDoc System Kft.</t>
  </si>
  <si>
    <t>WinPA postázó szoftver követés, emelt szintű támogatás</t>
  </si>
  <si>
    <t>JakabNet Szoftverház Kft.</t>
  </si>
  <si>
    <t>Integrált Közszolg. Szoftvercsomag követése-pü,szoc...modul-Szakcs</t>
  </si>
  <si>
    <t>K&amp;H Biztosító Zrt.</t>
  </si>
  <si>
    <t>felelősségbiztosítás, casco-JLV-415,LLP-126, LHL-651 (Szakcs)</t>
  </si>
  <si>
    <t>Karádi-Kontroll Kft.</t>
  </si>
  <si>
    <t>munkavédelmi tanácsadás</t>
  </si>
  <si>
    <t>Karádiné Kurucz Klára e.v.</t>
  </si>
  <si>
    <t>munkavédelmi tanácsadás-Szakcs</t>
  </si>
  <si>
    <t>KIMÉRA Kft.</t>
  </si>
  <si>
    <t>Jogszabálykövetés /iktató rendszer/</t>
  </si>
  <si>
    <t>Komunáldata Számítástechnikai Fejlesztő és Szolgáltató Kft</t>
  </si>
  <si>
    <t>ado 24 nyomtatvány (elektronikusan kitölthető forma)</t>
  </si>
  <si>
    <t>Magyar Posta Zrt.</t>
  </si>
  <si>
    <t>Postafiók bérlet</t>
  </si>
  <si>
    <t>postai küldemények havi díja</t>
  </si>
  <si>
    <t>tűzjelző rendszer telefonvonala-Bezerédj u. 14.</t>
  </si>
  <si>
    <t>vezetékes telefonok - Szakcs</t>
  </si>
  <si>
    <t>mobiltelefon előfizetése-Szakcs (30/501-3166)</t>
  </si>
  <si>
    <t>Microsec Zrt.</t>
  </si>
  <si>
    <t>e-Szigno Csomag keretében együttesen nyújtott szolgáltatások</t>
  </si>
  <si>
    <t>Nemzeti Hulladékgazdálkodási és Vagyonkezelő Zrt.</t>
  </si>
  <si>
    <t>Szab. 18, Bez. 14. kukák ürítése</t>
  </si>
  <si>
    <t>Nemzeti Közszolgálati Egyetem</t>
  </si>
  <si>
    <t xml:space="preserve">Köztisztviselői képzés hozzájárulás </t>
  </si>
  <si>
    <t>megrendelő</t>
  </si>
  <si>
    <t>Opten Informatikai Kft.</t>
  </si>
  <si>
    <t>cégtár online (pü-i modul) éves előfizetés</t>
  </si>
  <si>
    <t>lemondásig érvényben</t>
  </si>
  <si>
    <t>Önkormányzati vállalkozás-figyelés -adósok</t>
  </si>
  <si>
    <t>Print Copy Kft.</t>
  </si>
  <si>
    <t>fénymásolók üzemeltetési költsége (Szakcs-MP3351)</t>
  </si>
  <si>
    <t>Saldo Rt.</t>
  </si>
  <si>
    <t>tagdíj (adó-és számviteli tanácsadás)</t>
  </si>
  <si>
    <t>TAGE Kft.</t>
  </si>
  <si>
    <t>Polg. Hiv. takarítása, felhasznált higéniai szerek</t>
  </si>
  <si>
    <t>Tank-szer</t>
  </si>
  <si>
    <t>üzemanyag</t>
  </si>
  <si>
    <t>TARR Kft.</t>
  </si>
  <si>
    <t>internet-előfizetési díj, internet optikai szálbérlet,kábelTV,Szakcs</t>
  </si>
  <si>
    <t>Telenor Magyarország Zrt. / Yettel Magyarország Zrt.</t>
  </si>
  <si>
    <t>mobil távközlési szolgáltatások és mobil telefonok vásárlása, és uszoda</t>
  </si>
  <si>
    <t>Tolna Megyei Kormányhivatal</t>
  </si>
  <si>
    <t>helyi személyiadat és lakcímnyilvánt. számgépes rendsz.karbt</t>
  </si>
  <si>
    <t>Tolna Megyei Ügyvédi Kamara</t>
  </si>
  <si>
    <t>kamarai jogtanácsosi díj</t>
  </si>
  <si>
    <t>UNIQA Biztosító Zrt.</t>
  </si>
  <si>
    <t>felelősségbiztosítás,és casco-LFA-110 (Renault Mégane)</t>
  </si>
  <si>
    <t>VARITEL Irodatechnika</t>
  </si>
  <si>
    <t>Develop Ineo +227e fénymásoló bérlete, lapköltsége</t>
  </si>
  <si>
    <t>fénymásoló bérlete (Develop Ineo 224e)</t>
  </si>
  <si>
    <t>Vincellérné dr. Illés Krisztina</t>
  </si>
  <si>
    <t>jogi közreműködés, képviselet, tanácsadás, és állásfoglalás elkészítése</t>
  </si>
  <si>
    <t>Werner Tamás e.v. (WS Works)</t>
  </si>
  <si>
    <t>garázsmester gépkocsi nyilvántartó program karbantartása</t>
  </si>
  <si>
    <t>szóbeli m.</t>
  </si>
  <si>
    <t>Wolters Kluwer Kft.</t>
  </si>
  <si>
    <t>előfizetések (jogtárak, döntvénytár)</t>
  </si>
  <si>
    <t>X-R Copy Kft.</t>
  </si>
  <si>
    <t>másolatok díja-Kon. Min. Bizhub 163. -Szakcs</t>
  </si>
  <si>
    <t>Konica Minolta Bizhub 554e Bérleti díj és másolatok díja, Konica Minolta Bizhub C224e bérleti díj és másolatok díja</t>
  </si>
  <si>
    <t>Dombóvár Város Önkormányzatának költségvetési mérlege</t>
  </si>
  <si>
    <t>Bevételek</t>
  </si>
  <si>
    <t>2024. év</t>
  </si>
  <si>
    <t>2025. év</t>
  </si>
  <si>
    <t>Helyi adók</t>
  </si>
  <si>
    <t>Egyéb központi adók</t>
  </si>
  <si>
    <t>Egyéb közhatalmi bevételek</t>
  </si>
  <si>
    <t>Kölcsön visszatérülés</t>
  </si>
  <si>
    <t>Működési célú bevételek összesen</t>
  </si>
  <si>
    <t>Fejlesztési célú állami támogatás</t>
  </si>
  <si>
    <t>Felhalmozási célú pénzeszköz átvétel</t>
  </si>
  <si>
    <t>Felhalmozási célú kölcsön visszatérülés</t>
  </si>
  <si>
    <t>Felhalmozási célú hitel igénybevétele</t>
  </si>
  <si>
    <t>Felhalmozási célú bevétel összesen:</t>
  </si>
  <si>
    <t>Bevétel összesen:</t>
  </si>
  <si>
    <t>Kiadások</t>
  </si>
  <si>
    <t>Működési célú pénzeszköz átadás, egyéb tám.</t>
  </si>
  <si>
    <t>Ellátottak pénzbeli juttatása</t>
  </si>
  <si>
    <t>Rövid lejáratú hitel visszafizetés</t>
  </si>
  <si>
    <t>Rövid lejáratú hitel kamat</t>
  </si>
  <si>
    <t>Céltartalék működési, általános tartalék</t>
  </si>
  <si>
    <t>Működési kiadás összesen</t>
  </si>
  <si>
    <t>Felújítási kiadások</t>
  </si>
  <si>
    <t>Felhalmozási célú pénzeszköz átadás</t>
  </si>
  <si>
    <t>Felhalmozási célú hitel visszafizetés</t>
  </si>
  <si>
    <t>Hosszú lejáratú hitel kamata</t>
  </si>
  <si>
    <t>Felhalmozási célú kölcsön nyújtás</t>
  </si>
  <si>
    <t>Céltartalék</t>
  </si>
  <si>
    <t>Felhalmozási kiadások összesen:</t>
  </si>
  <si>
    <t>Kiadások összesen:</t>
  </si>
  <si>
    <t>2026. év</t>
  </si>
  <si>
    <t>Az önkormányzat által nyújtott közvetett támogatások</t>
  </si>
  <si>
    <t>Támogatás kedvezményezettje</t>
  </si>
  <si>
    <t>jellege</t>
  </si>
  <si>
    <t>várható összege (eFt)</t>
  </si>
  <si>
    <t>65 év feletti adózók</t>
  </si>
  <si>
    <t>kommunális adó kedvezmény (50%)</t>
  </si>
  <si>
    <t>70 év feletti adózók</t>
  </si>
  <si>
    <t>kommunális adó mentesség</t>
  </si>
  <si>
    <t>Vállalkozó akinek adóalapja nem haladja meg a 2,5 millió forintot</t>
  </si>
  <si>
    <t>iparűzési adómentesség</t>
  </si>
  <si>
    <t>Magánszemélyek (akik legfeljebb 8 szobás és legfeljebb 16 ágyszámmal rendelkező szálláshelyen töltenek el vendégéjszakát)</t>
  </si>
  <si>
    <t>idegenforgalmi adó mentesség</t>
  </si>
  <si>
    <t>Gyermekétkeztetés</t>
  </si>
  <si>
    <t>térítési díj kedvezmény (10%)</t>
  </si>
  <si>
    <t>Sportszervezetek, nemzetiségi önkormányzatok, önkormányzat gazdasági társaságai</t>
  </si>
  <si>
    <t>térítésmentes bérlet</t>
  </si>
  <si>
    <t>I. Helyi adónál biztosított kedvezmény, mentesség</t>
  </si>
  <si>
    <t>Az építményadóról szóló 41/2015. (XII. 1.) önkormányzati rendelet</t>
  </si>
  <si>
    <t>A Gunaras-fürdő területén található, az ingatlan-nyilvántartásban üdülő, hétvégi ház megnevezéssel nyilvántartott építmény utáni építményadó-fizetési kötelezettségét illetően adókedvezmény iránti kérelemmel élhet az adóhatóság felé az a magánszemély, aki az építmény tulajdonosa vagy az építményt terhelő vagyoni értékű jog jogosítottja, amennyiben az építményben egyedül vagy hozzátartozójával együtt életvitelszerűen lakik.</t>
  </si>
  <si>
    <t xml:space="preserve">Mentes – a Htv. 13-13/A. §-ban foglaltakon túl – az építményadó megfizetése alól:
a) a lakás, amennyiben az adó alanya magánszemély, 
b) garázs, gépjárműtároló – kivéve az ingatlan-nyilvántartásban teremgarázsként feltüntetett épületrészt –, üvegház, pince, présház, hűtőház vagy ilyenként feltüntetésre váró épület, továbbá a melléképület és a melléképületrész. </t>
  </si>
  <si>
    <t>A magánszemélyek kommunális adójáról, az idegenforgalmi adóról és a helyi iparűzési adóról szóló 40/2015. (XII. 1.) önkormányzati rendelet</t>
  </si>
  <si>
    <t>Magánszemélyek kommunális adójánál</t>
  </si>
  <si>
    <t>A lakás után fizetendő magánszemélyek kommunális adója alól mentes az a magánszemély, aki a 70. életévét betöltötte. 50 %-os adókedvezmény illeti meg azt a magánszemélyt, aki a 65. életévét betöltötte.</t>
  </si>
  <si>
    <t>A használatbavételi engedély kiadását követő évtől számítva 2 évig mentes a magánszemélyek kommunális adófizetési kötelezettsége alól az a magánszemély, aki új építésű családi házat épít.</t>
  </si>
  <si>
    <t>20 %-os adókedvezmény illeti meg azt a magánszemélyt, akinek a rendelet 1. melléklete I., II., vagy III. övezetébe sorolt lakóingatlana előtti közút nem rendelkezik aszfaltburkolattal.</t>
  </si>
  <si>
    <t>Azok a magánszemélyek, akik az ingatlanuk előtt önerőből járdafelújítást végeznek, kérelemre 2 éves időtartamra 50 %-os kommunális adókedvezményt vehetnek igénybe.</t>
  </si>
  <si>
    <t xml:space="preserve">Adókedvezmény illeti meg azt a magánszemélyt, aki a rendelet 1. melléklete szerinti I. vagy II. övezetben lakást vásárolt és ott állandó lakóhelyet létesített. 
</t>
  </si>
  <si>
    <t>Idegenforgalmi adónál</t>
  </si>
  <si>
    <t>Iparűzési adónál</t>
  </si>
  <si>
    <t>Adómentesség illeti meg a vállalkozót, ha a Htv. 39. § (1) bekezdése, illetőleg a 39/A. §-a vagy 39/B §-a alapján számított (vállalkozási szintű) adóalapja nem haladja meg a 2,5 millió Ft-ot.</t>
  </si>
  <si>
    <t>A mentesség pontos összegét és az adóalanyok számát az iparűzési adóbevallások május 31-éig esedékes beküldése után pontosítja az önkormányzat.</t>
  </si>
  <si>
    <t>II. Térítési díjaknál biztosított kedvezmények</t>
  </si>
  <si>
    <t>A gyermekvédelem helyi szabályozásáról szóló 12/2006. (II.20.) rendelet alapján az önkormányzat 10% kedvezményt biztosít a gyermekétkeztetés személyi térítési díjából a Dombóvár város közigazgatási területén lakóhellyel, ennek hiányában tartózkodási hellyel rendelkező gyermek esetében, aki a Gyvt. 21/B §-a alapján normatív kedvezményre nem jogosult.</t>
  </si>
  <si>
    <t>III. Helyiségek, eszközök hasznosításából származó bevételből nyújtott kedvezmény, mentesség összege</t>
  </si>
  <si>
    <t>támogatásról szóló döntés száma</t>
  </si>
  <si>
    <t>ingatlan megnevezése</t>
  </si>
  <si>
    <t>támogatás kedvezményezettje</t>
  </si>
  <si>
    <t>371/2018. (XI. 29.) Kt. határozat</t>
  </si>
  <si>
    <t>helyi természetvédelemmel kapcsolatos feladatok ellátásához – a dombóvári 2923/A/2 hrsz. alatt nyilvántartott, Gyár u. 16. szám alatti, természetőr bázis céljára szolgáló ingatlan térítésmentes használata  2019. január 1-től 2023. december 31-ig, a használó a térítésmentes használat fejében köteles viselni az összes üzemeltetési költséget</t>
  </si>
  <si>
    <t>Kapos-hegyháti
Natúrpark Egyesület</t>
  </si>
  <si>
    <t>338/2019. (XI. 8.) Kt. határozat</t>
  </si>
  <si>
    <t>térítésmentes használati jog a szociális szolgáltatás biztosítása érdekében az ellátási szerződéssel megegyező időtartamra a Dombóvár Város Önkormányzata tulajdonát képező, a Dombóvár, Arany János tér 2. alatti, dombóvári 224/3. hrsz. alatt felvett, valamint a Dombóvár, Szabadság utca 6. alatti, dombóvári 46. hrsz. alatt felvett ingatlanokra</t>
  </si>
  <si>
    <t>Magyar Máltai Szeretetszolgálat Egyesület</t>
  </si>
  <si>
    <t>349/2019. (XI. 29.) Kt. határozat</t>
  </si>
  <si>
    <t>Dombóvár, Bezerédj u. 14. szám alatti, dombóvári 1306. hrsz.-ú ingatlanon épült társas irodaházban alábbi helyiségek használata:
a) A Nemzetiségi Közösségi Ház – 
a nagyterem a kiszolgálóhelyiségekkel együtt (1306/A/2. külön helyrajzi szám), iroda (bemutatóterem) 18,90 m2 (1306/A/3. külön helyrajzi szám egyik irodahelyisége) iroda 18,40 m2 (1306/A/3. külön helyrajzi szám egyik irodahelyisége),
b) a Német Közösségi Ház – pince (alagsor és mellékhelyiségei) (1306/A/1. külön helyrajzi szám)
2024. december 31-ig</t>
  </si>
  <si>
    <t>Dombóvári Német Nemzetiségi Önkormányzat, Dombóvári Horvát Nemzetiségi Önkormányzat</t>
  </si>
  <si>
    <t>350/2019. (XI. 29.) Kt. határozat</t>
  </si>
  <si>
    <t>nemzetiségi feladatok ellátásához a Dombóvár, Szabadság utca 4. alatti, dombóvári 47 hrsz.-ú ingatlannak a kialakult viszonyok szerint a Dombóvár Város Önkormányzata tulajdonába tartozó ingatlanrész térítésmentes használata</t>
  </si>
  <si>
    <t>Dombóvári Roma
Nemzetiségi Önkormányzat</t>
  </si>
  <si>
    <t>353/2019. (XI. 29.)Kt. határozat</t>
  </si>
  <si>
    <t>dombóvári 0328/1 hrsz.-ú, a gyepmesteri telepet is magában foglaló ingatlan (2024. december 31-ig)</t>
  </si>
  <si>
    <t>Dombóvári Kutyás Egyesület</t>
  </si>
  <si>
    <t>15/2020. (I. 31.) Kt. határozat</t>
  </si>
  <si>
    <t>Info Pont működtetéséhez a korábban a Tourinform Irodában használt tárgyi eszközök és sportszerek használatának terítésmentes átadásához határozatlan időre az önkormányzat turizmussal kapcsolatos közfeladatának ellátásához</t>
  </si>
  <si>
    <t>Gunaras Zrt.</t>
  </si>
  <si>
    <t>123/2020. (IX. 30.) Kt. határozat</t>
  </si>
  <si>
    <t>Dombóvári Közös Önkormányzati Hivatal tulajdonát képező, EIE-487 forgalmi rendszámú VW Transporter típusú gépjárművet a Magyar Máltai Szeretetszolgálat Egyesület használja üzembentartóként térítésmentesen határozatlan időre a vele kötött ellátási szerződés szerinti szociális szolgáltatás nyújtásához</t>
  </si>
  <si>
    <t>132/2020. (IX. 30.) Kt. határozat</t>
  </si>
  <si>
    <t>Árpád utcában lévő dombóvári 945/1 hrsz.-ú, lakóház, udvar, gazdasági épület, egyéb épület megnevezésű ingatlan keleti részén található – korábban villanyszerelői tanműhely céljára használt – helyiségek térítésmentes használata haszonkölcsön formájában</t>
  </si>
  <si>
    <t>Dombóvári Városgazdálkodási Nonprofit Kft.</t>
  </si>
  <si>
    <t>126/2020. (XII. 18.) határozat</t>
  </si>
  <si>
    <t>Dombóvári Karatesuli Közhasznú Egyesület,
Dombóvári Vasutas Atlétikai és Szabadidő Egyesület,
Dombóvári Floorball Közhasznú Sportegyesület,
SEIBUKAI KYOKUSHIN Dombóvár Sportegyesület,
Dombóvári Asztalitenisz Club Közhasznú Egyesület,
Dombóvári Hangulat Szabadidő Sportegyesület,
Dombóvári Futball Club,
Dombóvári Judo Klub,
Dombóvári Labdarúgó Klub,
JUMPERS Dombóvári Kötélugró Sportegyesület,
Dombóvári Kosárlabda Klub Sport Egyesület</t>
  </si>
  <si>
    <t>Dombóvári Focisuli Egyesület</t>
  </si>
  <si>
    <t>69/2021. (II. 26.) határozat</t>
  </si>
  <si>
    <t>Dombóvár, Szabadság utca 4. szám alatti ingatlanban térítésmentes
helyiséghasználat – a közüzemi költségek rájuk eső részének fedezése mellett – két tanterem, egy tanári szoba, kiskonyha, nemenként elkülönített mosdó és egy ügyfélfogadó iroda vonatkozásában</t>
  </si>
  <si>
    <t>Dombóvári Roma Közhasznú
Alapítvány és az Országos Roma Felemelkedésért Misszió</t>
  </si>
  <si>
    <t>129/2021. (IV. 30.) határozat</t>
  </si>
  <si>
    <t>Dombóvár, Földvár utcában található, dombóvári 1882/2 hrsz. alatt felvett „volt MÁV étkezde” ingatlan területén, a Szigeterdő mellett elhelyezkedő, 1.350 m2 nagyságú teniszpálya térítésmentes használata – az érintett terület fenntartásával és karbantartásával kapcsolatos költségek Egyesület részéről történő viselése mellett – 2031. április 30-ig</t>
  </si>
  <si>
    <t xml:space="preserve">Dombóvári Tenisz Egyesület </t>
  </si>
  <si>
    <t>130/2021. (IV. 30.) határozat
162/2021. (V. 28.) határozat</t>
  </si>
  <si>
    <t>Dombóvár, Pannónia út 21. szám alatti ingatlanon található - a Tolna Megyei SZC Esterházy Miklós Szakképző Iskola és Kollégiumhoz tartozó - Buzánszky Jenő Sportkomplexum műfüves pályája és kültéri öltöző épülete tekintetében 2021. május 1. napjától 2028. január 1. napjáig térítésmentes használata (a közüzemi és működtetési költségeket az Egyesület köteles viselni az ingatlan vagyonkezelőjével együttműködve)</t>
  </si>
  <si>
    <t>PASZ Dombóvári Amatőr Sportegyesület</t>
  </si>
  <si>
    <t>129/2020. (XII. 18.) határozat
133/2021. (IV. 30.) határozat
163/2021. (V. 28.) határozat</t>
  </si>
  <si>
    <t>Dombóvár, Kinizsi utca 37. szám alatti Lampert Gábor Edzőterem térítésmentes használata 2021. január 16-tól 2028. január 1-ig, a közüzemi és a további működtetési költségeket az egyesület köteles viselni</t>
  </si>
  <si>
    <t>Dombóvár 2004. Egyesület</t>
  </si>
  <si>
    <t>151/2021. (V. 14.) határozat
164/2021. (V. 28.) határozat</t>
  </si>
  <si>
    <t>az önkormányzat 2021. május 14. napjától 2028. január 1. napjáig térítésmentesen biztosítja a Kis-Konda-patak völgyében található, dombóvári 058 hrsz.-ú külterületi ingatlan használata azzal, hogy az ingatlannal kapcsolatban felmerülő valamennyi költséget – beleértve a „Városi Civil Alapok támogatása 2021” elnevezésű pályázat alapján állami támogatásból megvalósítani kívánt beruházás költségeit, valamint az építmények vonatkozásában a fenntartási és a közüzemi költségeket is –, illetve a működtetési kötelezettséget az Egyesület viseli, továbbá azon a közforgalmú gyalogos és kerékpáros közlekedést köteles az eddigiek szerint lehetővé tenni</t>
  </si>
  <si>
    <t>Dombóvári Városi Horgász Egyesület</t>
  </si>
  <si>
    <t>211/2021. (VI. 30.) Kt. határozat</t>
  </si>
  <si>
    <t>a Farkas Attila Uszodát magába foglaló 1358 hrsz.-ú ingatlanon található „lőtér, egyéb” megnevezésű épületnek lőtér funkciójú termét 2021. július 1. napjától – 5 éves határozott időtartamú térítésmentes használata</t>
  </si>
  <si>
    <t>Dombóvári Lövész Egyesület</t>
  </si>
  <si>
    <t>212/2021. (VI. 30.) Kt. határozat</t>
  </si>
  <si>
    <t>a Farkas Attila Uszodát magába foglaló 1358 hrsz.-ú ingatlanon található „lőtér, egyéb” megnevezésű épületnek az edzőterem funkciójú termét 2021. július 1. napjától – 5 éves határozott időtartamú térítésmentes használata</t>
  </si>
  <si>
    <t>Dombóvári Sportiskola Egyesület</t>
  </si>
  <si>
    <t>287/2021. (XI. 30.) Kt. határozat</t>
  </si>
  <si>
    <t>Szigeterdőben – dombóvári 1882/6 hrsz.-ú kivett közpark, lakótorony megnevezésű ingatlanon – található lakótorony térítésmentes használata haszonkölcsön-szerződéssel – 2022. január 1-től
2026. december 31-ig – működtetésre, téglagyűjteményének bemutatására. Az összes üzemeltetési költséget az önkormányzat köteles viselni.</t>
  </si>
  <si>
    <t>Őri Nándor dombóvári lakos</t>
  </si>
  <si>
    <t>1. hó</t>
  </si>
  <si>
    <t>2. hó</t>
  </si>
  <si>
    <t>3. hó</t>
  </si>
  <si>
    <t>4. hó</t>
  </si>
  <si>
    <t>5. hó</t>
  </si>
  <si>
    <t>6. hó</t>
  </si>
  <si>
    <t>7. hó</t>
  </si>
  <si>
    <t>8. hó</t>
  </si>
  <si>
    <t>9. hó</t>
  </si>
  <si>
    <t>10. hó</t>
  </si>
  <si>
    <t>11. hó</t>
  </si>
  <si>
    <t>12. hó</t>
  </si>
  <si>
    <t>Intézményi működési bevétel</t>
  </si>
  <si>
    <t xml:space="preserve">  ebből helyi adó</t>
  </si>
  <si>
    <t>Átvett pénzeszközök, támogatás államháztartáson belülről</t>
  </si>
  <si>
    <t xml:space="preserve">  ebből működésre</t>
  </si>
  <si>
    <t xml:space="preserve">  ebből fejlesztésre</t>
  </si>
  <si>
    <t>Bevételek együtt (1+…+6)</t>
  </si>
  <si>
    <t>Finanszírozási műveletek (hitel, maradvány igénybevétele)</t>
  </si>
  <si>
    <t>Összes bevétel (7+8)</t>
  </si>
  <si>
    <t>Személyi juttatás</t>
  </si>
  <si>
    <t>Munkaadókat terhelő járulék</t>
  </si>
  <si>
    <t>Dologi kiadás</t>
  </si>
  <si>
    <t>Egyéb működési célú kiadás</t>
  </si>
  <si>
    <t>Működési kiadások (10+…+14)</t>
  </si>
  <si>
    <t>Egyéb felhalmozási kiadás</t>
  </si>
  <si>
    <t>Felhalmozási kiadás (16+17+18)</t>
  </si>
  <si>
    <t>Céltartalék, általános tartalék</t>
  </si>
  <si>
    <t>Kiadások együtt (15+19+20)</t>
  </si>
  <si>
    <t>Finanszírozási műveletek (hiteltörl., Áht-n belüli megelőleg. visszafiz.)</t>
  </si>
  <si>
    <t>Összes kiadás (21+22)</t>
  </si>
  <si>
    <t>7-21 eltérése (+/-)</t>
  </si>
  <si>
    <t>9-23 eltérése (+/-)</t>
  </si>
  <si>
    <t>Záró pénzkészlet</t>
  </si>
  <si>
    <t>Műkö-  dési  bevétel</t>
  </si>
  <si>
    <t>Felhalmozási bevétel</t>
  </si>
  <si>
    <t>Átvett pénzeszköz, támogatás</t>
  </si>
  <si>
    <t>Maradvány igénybevétele</t>
  </si>
  <si>
    <t>Állami támogatás + NEAK</t>
  </si>
  <si>
    <t>Önk. tám.</t>
  </si>
  <si>
    <t>Int.fin.</t>
  </si>
  <si>
    <t>előirányzata</t>
  </si>
  <si>
    <t>Családalapítási támogatás</t>
  </si>
  <si>
    <t>Szociális, jóléti, kulturális  juttatások</t>
  </si>
  <si>
    <t>Egészségügyi juttatás (védőszemüveg)</t>
  </si>
  <si>
    <t>Dombóvár Város Önkormányzata 2023. évi előirányzat felhasználási terve</t>
  </si>
  <si>
    <t>Intézmények finanszírozása 2023. évben</t>
  </si>
  <si>
    <t>Dombóvári Szivárvány Óvoda és Bölcsőde</t>
  </si>
  <si>
    <t>Európai Uniós támogatással megvalósuló programok, projektek bevételei, kiadásai</t>
  </si>
  <si>
    <t>szám</t>
  </si>
  <si>
    <t>azonosító</t>
  </si>
  <si>
    <t>program, projekt neve</t>
  </si>
  <si>
    <t>2020.12.31-ig</t>
  </si>
  <si>
    <t>2021.</t>
  </si>
  <si>
    <t>2022.</t>
  </si>
  <si>
    <t xml:space="preserve">támogatás </t>
  </si>
  <si>
    <t>önkormányzati saját forrás</t>
  </si>
  <si>
    <t>TOP-5.2.1-15-TL1-2016-00001</t>
  </si>
  <si>
    <t>A dombóvári Mászlony szegregátumban élők társadalmi integrációjának helyi szintű komplex programja</t>
  </si>
  <si>
    <t>önkormányzati sajáterő</t>
  </si>
  <si>
    <t>TOP-5.2.1-15-TL1-2016-00002</t>
  </si>
  <si>
    <t>A dombóvári Szigetsor-Vasút szegregátumban élők társadalmi integrációjának helyi szintű komplex programja</t>
  </si>
  <si>
    <t>TOP-5.2.1-15-TL1-2016-00003</t>
  </si>
  <si>
    <t>A dombóvári Kakasdomb-Erzsébet utca szegregációval veszélyeztetett területén élők társadalmi integrációjának helyi szintű komplex programja</t>
  </si>
  <si>
    <t>TOP-1.1.1-16-TL1-2017-00002</t>
  </si>
  <si>
    <t>Tüskei iparterület fejlesztése és új iparterület kialakítása 2017</t>
  </si>
  <si>
    <t>TOP-4.3.1-15-TL1-2016-00002</t>
  </si>
  <si>
    <t>Mászlony - oázis az agrársivatagban</t>
  </si>
  <si>
    <t>támogatás</t>
  </si>
  <si>
    <t>TOP-4.3.1-15-TL1-2016-00003</t>
  </si>
  <si>
    <t>A dombóvári Szigetsor-Vasút szegregátumok rehabilitációja</t>
  </si>
  <si>
    <t>TOP-4.3.1-15-TL1-2016-00004</t>
  </si>
  <si>
    <t>DARK - Dombóvári Akcióterületi Rehabilitáció Kakasdomb-Erzsébet uztca szegregációval veszélyeztetett területen</t>
  </si>
  <si>
    <t xml:space="preserve"> TOP-7.1.1-16-H-ERFA-2018-00032</t>
  </si>
  <si>
    <t xml:space="preserve"> Szigeterdei Közösségi Tér kialakítása</t>
  </si>
  <si>
    <t>TOP-4.1.1-15-TL1-2020-00028</t>
  </si>
  <si>
    <t>Dombóvár, Szabadság u. 2. szám alatti orvosi rendelő felújítása</t>
  </si>
  <si>
    <t>önk sajáterő</t>
  </si>
  <si>
    <t>TOP-2.1.3-00023</t>
  </si>
  <si>
    <t>DOMBÓVÁR, Ady Endre utca csapadékvíz elvezető rendszer rekonstrukciója</t>
  </si>
  <si>
    <t>TOP-2.1.3-00024</t>
  </si>
  <si>
    <t>DOMBÓVÁR, Fő utca csapadékvíz elvezető rendszer rekonstrukciója I. ütem - nyugati utcarész</t>
  </si>
  <si>
    <t>TOP-2.1.3-00025</t>
  </si>
  <si>
    <t>DOMBÓVÁR, Fő utca csapadékvíz elvezető rendszer rekonstrukciója II. ütem - keleti utcarész</t>
  </si>
  <si>
    <t>TOP_PLUSZ-1.3.1-21-TL1-2022-00005</t>
  </si>
  <si>
    <t>DOMBÓVÁR FenntarthatóVárosfejlesztési Stratégiájának és egyéb dokumentumainak elkészítése</t>
  </si>
  <si>
    <t>Bevételek összesen:</t>
  </si>
  <si>
    <t>kiadás</t>
  </si>
  <si>
    <t>dologi kiadások (szolgáltatások)</t>
  </si>
  <si>
    <t>beruházás (ingatlan vásárlás költségei, építéshez kapcsolódó költségek, eszközbeszerzés)</t>
  </si>
  <si>
    <t>személyi</t>
  </si>
  <si>
    <t>járulék</t>
  </si>
  <si>
    <t>eszközbeszerzés</t>
  </si>
  <si>
    <t>tartalék</t>
  </si>
  <si>
    <t>túligénylés, ill. előleg visszautalása</t>
  </si>
  <si>
    <t xml:space="preserve">kiadás </t>
  </si>
  <si>
    <t xml:space="preserve">támogatás visszafizetés </t>
  </si>
  <si>
    <t>29. TOP-7.1.1-16-H-ERFA-2018-00032  Szigeterdei Közösségi Tér kialakítása</t>
  </si>
  <si>
    <t>30. TOP-1.1.1-16-TL1-2017-00002  Tüskei iparterület fejlesztése és új iparterület kialakítása</t>
  </si>
  <si>
    <t>31. TOP-2.1.3-16-TL1-2021-00023 Dombóvár, Ady Endre utca csapadékvízelvezető rendszer rekonstrukciója</t>
  </si>
  <si>
    <t>32. TOP-2.1.3-16-TL1-2021-00024 Dombóvár, Fő utca csapadékvíz-elvezető rendszer rekonstrukciója I. ütem – nyugati utcarész</t>
  </si>
  <si>
    <t>33. TOP-2.1.3-16-TL1-2021-00025 Dombóvár, Fő utca csapadékvíz-elvezető rendszer rekonstrukciója II. ütem – keleti utcarész</t>
  </si>
  <si>
    <t>34. TOP_PLUSZ-1.3.1-21-TL1-2022-00005 FVS</t>
  </si>
  <si>
    <t>35. Farkas Attila Uszoda üzemeltetése</t>
  </si>
  <si>
    <t>37. Szúnyoggyérítés Dombóvár város közigazgatási területén</t>
  </si>
  <si>
    <t>38. Tagdíj Kapos-menti Terület- és Vidékfejlesztési Társulásnak</t>
  </si>
  <si>
    <t>39. Gyermekétkeztetés kiadásai</t>
  </si>
  <si>
    <t>40. Szünidei étkeztetés kiadásai</t>
  </si>
  <si>
    <t>41. Dombóvári Városgazdálkodási Nkft.-nek közszolgáltatási szerződés alapján fizetendő</t>
  </si>
  <si>
    <t>1. TOP-4.3.1-15-TL1-2016-00003 A dombóvári Szigetsor-Vasút szegregátumok rehabilitációja</t>
  </si>
  <si>
    <t>2.4. Önkormányzat</t>
  </si>
  <si>
    <t>1.8. TOP-5.2.1-15-TL1-2016-00002 Szigetsor</t>
  </si>
  <si>
    <t>1.9. TOP-5.2.1-15-TL1-2016-00003 Kakasdomb-Erzsébet utca</t>
  </si>
  <si>
    <t>1.10. TOP_PLUSZ-1.3.1-21-TL1-2022-00005 FVS</t>
  </si>
  <si>
    <t>2.5. TOP-4.3.1-15-TL1-2016-00002 Mászlony - oázis az agrársivatagban</t>
  </si>
  <si>
    <t>2.6. TOP-4.3.1-15-TL1-2016-00003 A dombóvári Szigetsor-Vasút szegregátumok rehabilitációja</t>
  </si>
  <si>
    <t>2.7. TOP-4.3.1-15-TL1-2016-00004 DARK projekt</t>
  </si>
  <si>
    <t>2.8. TOP-2.1.3-16-TL1-2021-00023 Dombóvár, Ady Endre utca csapadékvízelvezető rendszer rekonstrukciója</t>
  </si>
  <si>
    <t>2.9. TOP-2.1.3-16-TL1-2021-00024 Dombóvár, Fő utca csapadékvíz-elvezető rendszer rekonstrukciója I. ütem – nyugati utcarész</t>
  </si>
  <si>
    <t>2.10. TOP-2.1.3-16-TL1-2021-00025 Dombóvár, Fő utca csapadékvíz-elvezető rendszer rekonstrukciója II. ütem – keleti utcarész</t>
  </si>
  <si>
    <t>1.4. Önkormányzat</t>
  </si>
  <si>
    <t>2023. évi bevételek</t>
  </si>
  <si>
    <t>4. Gépjármű vásárlás</t>
  </si>
  <si>
    <t>43. Iskola egészségügyi feladat</t>
  </si>
  <si>
    <t>44. Tanulmánytervek készítése</t>
  </si>
  <si>
    <t>45. Védőnőkkel kapcsolatos dologi kiadások</t>
  </si>
  <si>
    <t>46. „Rádió PLUSZ Dombóvár” rádiószolgáltatás költségei</t>
  </si>
  <si>
    <t>47. Térségi Szabadidő- és Sportcentrum kialakítása</t>
  </si>
  <si>
    <t>48. Orvosi rendelő felújítása miatt jelentkező bérleti díjak</t>
  </si>
  <si>
    <t>49. Mászlony pusztán élő óvodások szállítása</t>
  </si>
  <si>
    <t>50. Újdombóvári posta működtetésére</t>
  </si>
  <si>
    <t>4. TOP-4.3.1-15-TL1-2016-00003 A dombóvári Szigetsor-Vasút szegregátumok rehabilitációja</t>
  </si>
  <si>
    <t>5. TOP-4.3.1-15-TL1-2016-00004 DARK projekt</t>
  </si>
  <si>
    <t>6. TOP-7.1.1-16-H-ERFA-2018-00032  Szigeterdei Közösségi Tér kialakítása</t>
  </si>
  <si>
    <t>7. TOP-1.1.1-16-TL1-2017-00002  Tüskei iparterület fejlesztése és új iparterület kialakítása</t>
  </si>
  <si>
    <t>8. Parkoló kialakítása Járási Hivatal mögött, a rendőrség mellett</t>
  </si>
  <si>
    <t>9. Térségi Szabadidő- és Sportcentrum kialakítása</t>
  </si>
  <si>
    <t>10. Szociális épület kialakítása (JAM csarnoknál)</t>
  </si>
  <si>
    <t>11. Játszótér bővítése (Tulipán utca)</t>
  </si>
  <si>
    <t>12. Péczely utca közmű tervezési feladatok</t>
  </si>
  <si>
    <t>13. Kijelölt gyalogos átkelőhely létesítése</t>
  </si>
  <si>
    <t>14. Vis maior pályázat önerő (Garay utca)</t>
  </si>
  <si>
    <t>2. Víziközmű fejlesztés</t>
  </si>
  <si>
    <t>3. Belterületi utak felújítása</t>
  </si>
  <si>
    <t>4. TOP-2.1.3-16-TL1-2021-00023 Dombóvár, Ady Endre utca csapadékvízelvezető rendszer rekonstrukciója</t>
  </si>
  <si>
    <t>5. TOP-2.1.3-16-TL1-2021-00024 Dombóvár, Fő utca csapadékvíz-elvezető rendszer rekonstrukciója I. ütem – nyugati utcarész</t>
  </si>
  <si>
    <t>6. TOP-2.1.3-16-TL1-2021-00025 Dombóvár, Fő utca csapadékvíz-elvezető rendszer rekonstrukciója II. ütem – keleti utcarész</t>
  </si>
  <si>
    <t>7. Kölcsey F. u. 110-120. közötti út és járda burkolatának felújítása</t>
  </si>
  <si>
    <t>2.2. TAO-s támogatáshoz önrész biztosítása</t>
  </si>
  <si>
    <t>2023. évi szociális, jóléti és egészségügyi juttatás</t>
  </si>
  <si>
    <t>128/2020. (XII. 18.) határozat
324/2021. (XII. 17.) Kt. határozat
237/2022. (XII. 16.) Kt. határozat</t>
  </si>
  <si>
    <t>Katona József u. 37. szám alatti Ujvári Kálmán Sporttelep térítésmentes használata 2023. december 31. napjáig, közüzemi és a további működtetési költségeket az egyesület köteles viselni</t>
  </si>
  <si>
    <t>Tulajdonjog, illetve haszonélvezeti jog alapján a kedvezmény 1.997 adózót, a mentesség 1.271 adózót érintett az előző évben.</t>
  </si>
  <si>
    <t>2023. évi kiemelt kiadási előirányzata</t>
  </si>
  <si>
    <t>Dombóvár Város Önkormányzata intézményeinek</t>
  </si>
  <si>
    <t>Intézmény megnevezése</t>
  </si>
  <si>
    <t>Engedélyezett létszám (fő)</t>
  </si>
  <si>
    <t>Szakmai létszám</t>
  </si>
  <si>
    <t>Nevelő munát közvetlenül segítők</t>
  </si>
  <si>
    <t>Technikai létszám</t>
  </si>
  <si>
    <t>Megváltozott
munkaképességű
dolgozók</t>
  </si>
  <si>
    <t>Szivárvány Óvoda</t>
  </si>
  <si>
    <t>Zöld Liget Óvoda</t>
  </si>
  <si>
    <t>Százszorszép Óvoda</t>
  </si>
  <si>
    <t>Tündérkert Bölcsőde</t>
  </si>
  <si>
    <t>Dombóvári Műv.Ház, Könyvtár és Helytörténeti Gyűjt.</t>
  </si>
  <si>
    <t>Dombóvár</t>
  </si>
  <si>
    <t>Szakcs</t>
  </si>
  <si>
    <t>Attala</t>
  </si>
  <si>
    <t>Csikóstőttős</t>
  </si>
  <si>
    <t>létszámkerete 2023. évben</t>
  </si>
  <si>
    <t>Csikóstőttősi Tagóvoda</t>
  </si>
  <si>
    <t>Nem kell az idegenforgalmi adót megfizetni a magánszemélynek a kereskedelemről szóló 2005. évi CLXIV. törvény 2. §. 39. pontjában meghatározott magánszálláshelyen eltöltött vendégéjszakák után.</t>
  </si>
  <si>
    <t>36. Járdaprogram</t>
  </si>
  <si>
    <t>42. Játszóterek felülvizsgálata, a szükséges és lehetséges javítási, karbantartási munkák elvégzése</t>
  </si>
  <si>
    <t>5.1. 2022. évi állami támogatások elszámolása</t>
  </si>
  <si>
    <t>Dombóvár, Földvár utca 18. szám alatti Szuhay Sportcentrum térítésmentes használata 2023. december 31-ig sportszervezetek részére a sporttevékenységük végzésére</t>
  </si>
  <si>
    <t>1. melléklet a 3/2023. (II. 9.) önkormányzati rendelethez</t>
  </si>
  <si>
    <t>2. melléklet a 3/2023. (II. 9.) önkormányzati rendelethez</t>
  </si>
  <si>
    <t>1. Az önkormányzat</t>
  </si>
  <si>
    <t>2023. évi kiadásai</t>
  </si>
  <si>
    <t>2. A Dombóvári Közös Önkormányzati Hivatal</t>
  </si>
  <si>
    <t>2.melléklet a 3/2023. (II. 9.) önkormányzati rendelethez</t>
  </si>
  <si>
    <t>3. melléklet a 3/2023. (II. 9.) önkormányzati rendelethez</t>
  </si>
  <si>
    <t>4. melléklet a 3/2023. (II. 9.) önkormányzati rendelethez</t>
  </si>
  <si>
    <t>2021-2023. év</t>
  </si>
  <si>
    <t>1. Hitelek</t>
  </si>
  <si>
    <t>5. melléklet a 3/2023. (II. 9.) önkormányzati rendelethez</t>
  </si>
  <si>
    <t>2. Garancia és kezességvállalás (függő)</t>
  </si>
  <si>
    <t>3. Több évre kihatással járó kötelezettségvállalások 2022-2023. évi kifizetései (Dombóvár Város Önkormányzata)</t>
  </si>
  <si>
    <t>4. Több évre kihatással járó kötelezettségvállalások 2022-2023. évi kifizetései (Dombóvári Közös Önkormányzati Hivatal)</t>
  </si>
  <si>
    <t>6. melléklet a 3/2023. (II. 9.) önkormányzati rendelethez</t>
  </si>
  <si>
    <t>7. melléklet a 3/2023. (II. 9.) önkormányzati rendelethez</t>
  </si>
  <si>
    <t>8. melléklet a 3/2023. (II. 9.) önkormányzati rendelethez</t>
  </si>
  <si>
    <t>10. melléklet a 3/2023. (II. 9.) önkormányzati rendelethez</t>
  </si>
  <si>
    <t>9. melléklet a 3/2023. (II. 9.) önkormányzati rendelethez</t>
  </si>
  <si>
    <t>11. melléklet a 3/2023. (II. 9.) önkormányzati rendelethez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</si>
</sst>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Ft&quot;_-;\-* #,##0.00\ &quot;Ft&quot;_-;_-* &quot;-&quot;??\ &quot;Ft&quot;_-;_-@_-"/>
    <numFmt numFmtId="43" formatCode="_-* #,##0.00_-;\-* #,##0.00_-;_-* &quot;-&quot;??_-;_-@_-"/>
    <numFmt numFmtId="164" formatCode="#,##0.0000"/>
    <numFmt numFmtId="165" formatCode="_-* #,##0\ _F_t_-;\-* #,##0\ _F_t_-;_-* &quot;-&quot;\ _F_t_-;_-@_-"/>
    <numFmt numFmtId="166" formatCode="#,##0_ ;\-#,##0\ "/>
    <numFmt numFmtId="167" formatCode="0.0%"/>
    <numFmt numFmtId="168" formatCode="0.0"/>
    <numFmt numFmtId="169" formatCode="_-* #,##0_-;\-* #,##0_-;_-* &quot;-&quot;??_-;_-@_-"/>
    <numFmt numFmtId="170" formatCode="#,##0.00000"/>
  </numFmts>
  <fonts count="7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family val="2"/>
      <charset val="238"/>
    </font>
    <font>
      <sz val="10"/>
      <name val="Arial CE"/>
      <charset val="238"/>
    </font>
    <font>
      <sz val="11"/>
      <color indexed="8"/>
      <name val="Calibri"/>
      <family val="2"/>
      <charset val="238"/>
    </font>
    <font>
      <sz val="11"/>
      <color indexed="9"/>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sz val="13"/>
      <name val="Times New Roman"/>
      <family val="1"/>
      <charset val="238"/>
    </font>
    <font>
      <i/>
      <sz val="13"/>
      <name val="Times New Roman"/>
      <family val="1"/>
      <charset val="238"/>
    </font>
    <font>
      <b/>
      <i/>
      <sz val="13"/>
      <name val="Times New Roman"/>
      <family val="1"/>
      <charset val="238"/>
    </font>
    <font>
      <b/>
      <sz val="15"/>
      <name val="Times New Roman"/>
      <family val="1"/>
      <charset val="238"/>
    </font>
    <font>
      <sz val="10"/>
      <name val="Times New Roman"/>
      <family val="1"/>
      <charset val="238"/>
    </font>
    <font>
      <i/>
      <sz val="10"/>
      <name val="Times New Roman"/>
      <family val="1"/>
      <charset val="238"/>
    </font>
    <font>
      <b/>
      <i/>
      <sz val="10"/>
      <name val="Times New Roman"/>
      <family val="1"/>
      <charset val="238"/>
    </font>
    <font>
      <b/>
      <sz val="10"/>
      <name val="Times New Roman"/>
      <family val="1"/>
      <charset val="238"/>
    </font>
    <font>
      <sz val="10"/>
      <name val="Arial CE"/>
      <family val="2"/>
      <charset val="238"/>
    </font>
    <font>
      <i/>
      <sz val="10"/>
      <name val="Arial"/>
      <family val="2"/>
      <charset val="238"/>
    </font>
    <font>
      <sz val="11"/>
      <name val="Times New Roman"/>
      <family val="1"/>
      <charset val="238"/>
    </font>
    <font>
      <i/>
      <sz val="11"/>
      <name val="Times New Roman"/>
      <family val="1"/>
      <charset val="238"/>
    </font>
    <font>
      <b/>
      <sz val="11"/>
      <name val="Times New Roman"/>
      <family val="1"/>
      <charset val="238"/>
    </font>
    <font>
      <b/>
      <i/>
      <sz val="11"/>
      <name val="Times New Roman"/>
      <family val="1"/>
      <charset val="238"/>
    </font>
    <font>
      <b/>
      <sz val="11"/>
      <name val="Arial CE"/>
      <charset val="238"/>
    </font>
    <font>
      <sz val="10"/>
      <name val="Arial"/>
      <family val="2"/>
      <charset val="238"/>
    </font>
    <font>
      <sz val="9"/>
      <name val="Arial"/>
      <family val="2"/>
      <charset val="238"/>
    </font>
    <font>
      <sz val="9"/>
      <name val="Times New Roman"/>
      <family val="1"/>
      <charset val="238"/>
    </font>
    <font>
      <b/>
      <sz val="9"/>
      <name val="Times New Roman"/>
      <family val="1"/>
      <charset val="238"/>
    </font>
    <font>
      <b/>
      <i/>
      <sz val="9"/>
      <name val="Times New Roman"/>
      <family val="1"/>
      <charset val="238"/>
    </font>
    <font>
      <sz val="10"/>
      <color rgb="FFFF0000"/>
      <name val="Arial"/>
      <family val="2"/>
      <charset val="238"/>
    </font>
    <font>
      <b/>
      <sz val="9"/>
      <color indexed="81"/>
      <name val="Tahoma"/>
      <family val="2"/>
      <charset val="238"/>
    </font>
    <font>
      <sz val="10"/>
      <name val="Times New Roman CE"/>
      <family val="1"/>
      <charset val="238"/>
    </font>
    <font>
      <b/>
      <sz val="10"/>
      <name val="Times New Roman CE"/>
      <family val="1"/>
      <charset val="238"/>
    </font>
    <font>
      <b/>
      <sz val="10"/>
      <name val="Times New Roman CE"/>
      <charset val="238"/>
    </font>
    <font>
      <sz val="10"/>
      <name val="Times New Roman CE"/>
      <charset val="238"/>
    </font>
    <font>
      <sz val="9"/>
      <color indexed="81"/>
      <name val="Tahoma"/>
      <family val="2"/>
      <charset val="238"/>
    </font>
    <font>
      <sz val="10"/>
      <color theme="0"/>
      <name val="Times New Roman"/>
      <family val="1"/>
      <charset val="238"/>
    </font>
    <font>
      <sz val="10"/>
      <color theme="0"/>
      <name val="Arial"/>
      <family val="2"/>
      <charset val="238"/>
    </font>
    <font>
      <sz val="10"/>
      <color rgb="FFFF0000"/>
      <name val="Times New Roman"/>
      <family val="1"/>
      <charset val="238"/>
    </font>
    <font>
      <sz val="10"/>
      <color theme="1"/>
      <name val="Times New Roman"/>
      <family val="1"/>
      <charset val="238"/>
    </font>
    <font>
      <b/>
      <i/>
      <sz val="10"/>
      <color rgb="FFFF0000"/>
      <name val="Times New Roman"/>
      <family val="1"/>
      <charset val="238"/>
    </font>
    <font>
      <sz val="10"/>
      <color rgb="FF333333"/>
      <name val="Times New Roman"/>
      <family val="1"/>
      <charset val="238"/>
    </font>
    <font>
      <u/>
      <sz val="10"/>
      <color theme="10"/>
      <name val="Arial"/>
      <family val="2"/>
      <charset val="238"/>
    </font>
    <font>
      <b/>
      <sz val="10"/>
      <name val="Arial"/>
      <family val="2"/>
      <charset val="238"/>
    </font>
    <font>
      <b/>
      <sz val="10"/>
      <color theme="1"/>
      <name val="Arial"/>
      <family val="2"/>
      <charset val="238"/>
    </font>
    <font>
      <sz val="11"/>
      <name val="Times New Roman CE"/>
      <family val="1"/>
      <charset val="238"/>
    </font>
    <font>
      <b/>
      <sz val="11"/>
      <name val="Times New Roman CE"/>
      <family val="1"/>
      <charset val="238"/>
    </font>
    <font>
      <sz val="11"/>
      <name val="Times New Roman CE"/>
      <charset val="238"/>
    </font>
    <font>
      <i/>
      <sz val="11"/>
      <name val="Times New Roman CE"/>
      <family val="1"/>
      <charset val="238"/>
    </font>
    <font>
      <b/>
      <sz val="12"/>
      <name val="Times New Roman"/>
      <family val="1"/>
      <charset val="238"/>
    </font>
    <font>
      <sz val="12"/>
      <name val="Times New Roman"/>
      <family val="1"/>
      <charset val="238"/>
    </font>
    <font>
      <b/>
      <i/>
      <sz val="10"/>
      <name val="Arial"/>
      <family val="2"/>
      <charset val="238"/>
    </font>
    <font>
      <b/>
      <sz val="14"/>
      <name val="Times New Roman CE"/>
      <family val="1"/>
      <charset val="238"/>
    </font>
    <font>
      <sz val="14"/>
      <name val="Times New Roman CE"/>
      <family val="1"/>
      <charset val="238"/>
    </font>
    <font>
      <i/>
      <sz val="9"/>
      <name val="Times New Roman CE"/>
      <charset val="238"/>
    </font>
    <font>
      <sz val="9"/>
      <name val="Times New Roman CE"/>
      <charset val="238"/>
    </font>
    <font>
      <i/>
      <sz val="9"/>
      <name val="Times New Roman"/>
      <family val="1"/>
      <charset val="238"/>
    </font>
    <font>
      <u/>
      <sz val="10"/>
      <name val="Arial"/>
      <family val="2"/>
      <charset val="238"/>
    </font>
    <font>
      <sz val="11"/>
      <color theme="1"/>
      <name val="Times New Roman"/>
      <family val="1"/>
      <charset val="238"/>
    </font>
    <font>
      <sz val="12"/>
      <name val="Arial"/>
      <family val="2"/>
      <charset val="238"/>
    </font>
    <font>
      <b/>
      <sz val="13"/>
      <name val="Times New Roman"/>
      <family val="1"/>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rgb="FFFFFF00"/>
        <bgColor indexed="64"/>
      </patternFill>
    </fill>
    <fill>
      <patternFill patternType="solid">
        <fgColor theme="0"/>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auto="1"/>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n">
        <color indexed="64"/>
      </bottom>
      <diagonal/>
    </border>
    <border>
      <left style="medium">
        <color indexed="64"/>
      </left>
      <right style="thin">
        <color indexed="64"/>
      </right>
      <top/>
      <bottom style="thick">
        <color indexed="64"/>
      </bottom>
      <diagonal/>
    </border>
    <border>
      <left style="thin">
        <color indexed="64"/>
      </left>
      <right style="thick">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bottom style="thin">
        <color indexed="8"/>
      </bottom>
      <diagonal/>
    </border>
    <border>
      <left/>
      <right style="thin">
        <color indexed="64"/>
      </right>
      <top/>
      <bottom/>
      <diagonal/>
    </border>
    <border>
      <left style="thin">
        <color indexed="64"/>
      </left>
      <right style="thin">
        <color indexed="64"/>
      </right>
      <top/>
      <bottom/>
      <diagonal/>
    </border>
  </borders>
  <cellStyleXfs count="76">
    <xf numFmtId="0" fontId="0" fillId="0" borderId="0"/>
    <xf numFmtId="0" fontId="9" fillId="2" borderId="0" applyNumberFormat="0" applyBorder="0" applyAlignment="0" applyProtection="0"/>
    <xf numFmtId="0" fontId="6" fillId="2" borderId="0" applyNumberFormat="0" applyBorder="0" applyAlignment="0" applyProtection="0"/>
    <xf numFmtId="0" fontId="9" fillId="3" borderId="0" applyNumberFormat="0" applyBorder="0" applyAlignment="0" applyProtection="0"/>
    <xf numFmtId="0" fontId="6" fillId="3" borderId="0" applyNumberFormat="0" applyBorder="0" applyAlignment="0" applyProtection="0"/>
    <xf numFmtId="0" fontId="9" fillId="4" borderId="0" applyNumberFormat="0" applyBorder="0" applyAlignment="0" applyProtection="0"/>
    <xf numFmtId="0" fontId="6" fillId="4" borderId="0" applyNumberFormat="0" applyBorder="0" applyAlignment="0" applyProtection="0"/>
    <xf numFmtId="0" fontId="9" fillId="5" borderId="0" applyNumberFormat="0" applyBorder="0" applyAlignment="0" applyProtection="0"/>
    <xf numFmtId="0" fontId="6" fillId="5" borderId="0" applyNumberFormat="0" applyBorder="0" applyAlignment="0" applyProtection="0"/>
    <xf numFmtId="0" fontId="9" fillId="6" borderId="0" applyNumberFormat="0" applyBorder="0" applyAlignment="0" applyProtection="0"/>
    <xf numFmtId="0" fontId="6" fillId="6" borderId="0" applyNumberFormat="0" applyBorder="0" applyAlignment="0" applyProtection="0"/>
    <xf numFmtId="0" fontId="9" fillId="7" borderId="0" applyNumberFormat="0" applyBorder="0" applyAlignment="0" applyProtection="0"/>
    <xf numFmtId="0" fontId="6" fillId="7" borderId="0" applyNumberFormat="0" applyBorder="0" applyAlignment="0" applyProtection="0"/>
    <xf numFmtId="0" fontId="9" fillId="8" borderId="0" applyNumberFormat="0" applyBorder="0" applyAlignment="0" applyProtection="0"/>
    <xf numFmtId="0" fontId="6" fillId="8" borderId="0" applyNumberFormat="0" applyBorder="0" applyAlignment="0" applyProtection="0"/>
    <xf numFmtId="0" fontId="9" fillId="9" borderId="0" applyNumberFormat="0" applyBorder="0" applyAlignment="0" applyProtection="0"/>
    <xf numFmtId="0" fontId="6" fillId="9" borderId="0" applyNumberFormat="0" applyBorder="0" applyAlignment="0" applyProtection="0"/>
    <xf numFmtId="0" fontId="9" fillId="10" borderId="0" applyNumberFormat="0" applyBorder="0" applyAlignment="0" applyProtection="0"/>
    <xf numFmtId="0" fontId="6" fillId="10" borderId="0" applyNumberFormat="0" applyBorder="0" applyAlignment="0" applyProtection="0"/>
    <xf numFmtId="0" fontId="9" fillId="5" borderId="0" applyNumberFormat="0" applyBorder="0" applyAlignment="0" applyProtection="0"/>
    <xf numFmtId="0" fontId="6" fillId="5" borderId="0" applyNumberFormat="0" applyBorder="0" applyAlignment="0" applyProtection="0"/>
    <xf numFmtId="0" fontId="9" fillId="8" borderId="0" applyNumberFormat="0" applyBorder="0" applyAlignment="0" applyProtection="0"/>
    <xf numFmtId="0" fontId="6" fillId="8" borderId="0" applyNumberFormat="0" applyBorder="0" applyAlignment="0" applyProtection="0"/>
    <xf numFmtId="0" fontId="9" fillId="11" borderId="0" applyNumberFormat="0" applyBorder="0" applyAlignment="0" applyProtection="0"/>
    <xf numFmtId="0" fontId="6"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7" borderId="1" applyNumberFormat="0" applyAlignment="0" applyProtection="0"/>
    <xf numFmtId="0" fontId="12" fillId="0" borderId="0" applyNumberFormat="0" applyFill="0" applyBorder="0" applyAlignment="0" applyProtection="0"/>
    <xf numFmtId="0" fontId="13" fillId="0" borderId="2"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0" applyNumberForma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6" applyNumberFormat="0" applyFill="0" applyAlignment="0" applyProtection="0"/>
    <xf numFmtId="0" fontId="8" fillId="17" borderId="7" applyNumberFormat="0" applyFont="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9" fillId="4" borderId="0" applyNumberFormat="0" applyBorder="0" applyAlignment="0" applyProtection="0"/>
    <xf numFmtId="0" fontId="20" fillId="22" borderId="8" applyNumberFormat="0" applyAlignment="0" applyProtection="0"/>
    <xf numFmtId="0" fontId="21" fillId="0" borderId="0" applyNumberFormat="0" applyFill="0" applyBorder="0" applyAlignment="0" applyProtection="0"/>
    <xf numFmtId="0" fontId="41" fillId="0" borderId="0"/>
    <xf numFmtId="0" fontId="7" fillId="0" borderId="0"/>
    <xf numFmtId="0" fontId="7" fillId="0" borderId="0"/>
    <xf numFmtId="0" fontId="8" fillId="0" borderId="0" applyBorder="0"/>
    <xf numFmtId="0" fontId="34" fillId="0" borderId="0"/>
    <xf numFmtId="0" fontId="22" fillId="0" borderId="9" applyNumberFormat="0" applyFill="0" applyAlignment="0" applyProtection="0"/>
    <xf numFmtId="0" fontId="23" fillId="3" borderId="0" applyNumberFormat="0" applyBorder="0" applyAlignment="0" applyProtection="0"/>
    <xf numFmtId="0" fontId="24" fillId="23" borderId="0" applyNumberFormat="0" applyBorder="0" applyAlignment="0" applyProtection="0"/>
    <xf numFmtId="0" fontId="25" fillId="22" borderId="1" applyNumberFormat="0" applyAlignment="0" applyProtection="0"/>
    <xf numFmtId="0" fontId="8" fillId="0" borderId="0"/>
    <xf numFmtId="9" fontId="7" fillId="0" borderId="0" applyFont="0" applyFill="0" applyBorder="0" applyAlignment="0" applyProtection="0"/>
    <xf numFmtId="0" fontId="5" fillId="0" borderId="0"/>
    <xf numFmtId="44" fontId="7" fillId="0" borderId="0" applyFont="0" applyFill="0" applyBorder="0" applyAlignment="0" applyProtection="0"/>
    <xf numFmtId="43" fontId="4" fillId="0" borderId="0" applyFont="0" applyFill="0" applyBorder="0" applyAlignment="0" applyProtection="0"/>
    <xf numFmtId="0" fontId="3" fillId="0" borderId="0"/>
    <xf numFmtId="44" fontId="7" fillId="0" borderId="0" applyFont="0" applyFill="0" applyBorder="0" applyAlignment="0" applyProtection="0"/>
    <xf numFmtId="0" fontId="51" fillId="0" borderId="0"/>
    <xf numFmtId="0" fontId="8" fillId="0" borderId="0"/>
    <xf numFmtId="0" fontId="59" fillId="0" borderId="0" applyNumberFormat="0" applyFill="0" applyBorder="0" applyAlignment="0" applyProtection="0"/>
    <xf numFmtId="0" fontId="8" fillId="0" borderId="0"/>
    <xf numFmtId="0" fontId="51" fillId="0" borderId="0"/>
    <xf numFmtId="0" fontId="2" fillId="0" borderId="0"/>
    <xf numFmtId="0" fontId="34" fillId="0" borderId="0"/>
    <xf numFmtId="43" fontId="1" fillId="0" borderId="0" applyFont="0" applyFill="0" applyBorder="0" applyAlignment="0" applyProtection="0"/>
    <xf numFmtId="0" fontId="8" fillId="0" borderId="0" applyBorder="0"/>
    <xf numFmtId="0" fontId="8" fillId="0" borderId="0" applyBorder="0"/>
  </cellStyleXfs>
  <cellXfs count="633">
    <xf numFmtId="0" fontId="0" fillId="0" borderId="0" xfId="0"/>
    <xf numFmtId="0" fontId="26" fillId="0" borderId="0" xfId="53" applyFont="1"/>
    <xf numFmtId="0" fontId="29" fillId="0" borderId="0" xfId="53" applyFont="1"/>
    <xf numFmtId="0" fontId="33" fillId="0" borderId="11" xfId="53" applyFont="1" applyBorder="1" applyAlignment="1">
      <alignment horizontal="center"/>
    </xf>
    <xf numFmtId="0" fontId="30" fillId="0" borderId="11" xfId="53" applyFont="1" applyBorder="1" applyAlignment="1">
      <alignment horizontal="right"/>
    </xf>
    <xf numFmtId="0" fontId="26" fillId="0" borderId="0" xfId="53" applyFont="1" applyAlignment="1">
      <alignment vertical="center"/>
    </xf>
    <xf numFmtId="0" fontId="30" fillId="0" borderId="0" xfId="53" applyFont="1"/>
    <xf numFmtId="0" fontId="30" fillId="0" borderId="0" xfId="53" applyFont="1" applyBorder="1" applyAlignment="1">
      <alignment horizontal="right"/>
    </xf>
    <xf numFmtId="0" fontId="7" fillId="0" borderId="0" xfId="51"/>
    <xf numFmtId="0" fontId="37" fillId="0" borderId="0" xfId="53" applyFont="1" applyBorder="1" applyAlignment="1">
      <alignment horizontal="right"/>
    </xf>
    <xf numFmtId="0" fontId="7" fillId="0" borderId="10" xfId="51" applyBorder="1"/>
    <xf numFmtId="0" fontId="26" fillId="0" borderId="0" xfId="53" applyFont="1" applyAlignment="1">
      <alignment wrapText="1"/>
    </xf>
    <xf numFmtId="0" fontId="28" fillId="0" borderId="0" xfId="53" applyFont="1"/>
    <xf numFmtId="0" fontId="36" fillId="0" borderId="0" xfId="53" applyFont="1" applyBorder="1" applyAlignment="1">
      <alignment horizontal="right"/>
    </xf>
    <xf numFmtId="0" fontId="35" fillId="0" borderId="0" xfId="52" applyFont="1"/>
    <xf numFmtId="0" fontId="7" fillId="0" borderId="0" xfId="52"/>
    <xf numFmtId="3" fontId="32" fillId="0" borderId="10" xfId="53" applyNumberFormat="1" applyFont="1" applyBorder="1"/>
    <xf numFmtId="3" fontId="30" fillId="0" borderId="10" xfId="53" applyNumberFormat="1" applyFont="1" applyBorder="1"/>
    <xf numFmtId="0" fontId="31" fillId="0" borderId="0" xfId="53" applyFont="1" applyBorder="1"/>
    <xf numFmtId="0" fontId="36" fillId="0" borderId="10" xfId="53" applyFont="1" applyBorder="1"/>
    <xf numFmtId="0" fontId="36" fillId="0" borderId="0" xfId="53" applyFont="1" applyBorder="1"/>
    <xf numFmtId="0" fontId="38" fillId="0" borderId="0" xfId="53" applyFont="1" applyBorder="1" applyAlignment="1">
      <alignment horizontal="center"/>
    </xf>
    <xf numFmtId="3" fontId="38" fillId="0" borderId="15" xfId="53" applyNumberFormat="1" applyFont="1" applyBorder="1" applyAlignment="1">
      <alignment horizontal="center"/>
    </xf>
    <xf numFmtId="3" fontId="38" fillId="0" borderId="16" xfId="53" applyNumberFormat="1" applyFont="1" applyBorder="1" applyAlignment="1">
      <alignment horizontal="center"/>
    </xf>
    <xf numFmtId="3" fontId="38" fillId="0" borderId="17" xfId="53" applyNumberFormat="1" applyFont="1" applyBorder="1" applyAlignment="1">
      <alignment horizontal="center"/>
    </xf>
    <xf numFmtId="1" fontId="38" fillId="0" borderId="27" xfId="53" applyNumberFormat="1" applyFont="1" applyBorder="1" applyAlignment="1">
      <alignment horizontal="center" vertical="center"/>
    </xf>
    <xf numFmtId="0" fontId="38" fillId="0" borderId="22" xfId="53" applyFont="1" applyBorder="1" applyAlignment="1">
      <alignment horizontal="center" vertical="center"/>
    </xf>
    <xf numFmtId="0" fontId="36" fillId="0" borderId="24" xfId="53" applyFont="1" applyBorder="1" applyAlignment="1">
      <alignment horizontal="center" vertical="center"/>
    </xf>
    <xf numFmtId="0" fontId="38" fillId="0" borderId="33" xfId="53" applyFont="1" applyBorder="1" applyAlignment="1">
      <alignment horizontal="center" vertical="center"/>
    </xf>
    <xf numFmtId="0" fontId="36" fillId="0" borderId="13" xfId="53" applyFont="1" applyBorder="1"/>
    <xf numFmtId="0" fontId="30" fillId="0" borderId="10" xfId="53" applyFont="1" applyBorder="1" applyAlignment="1">
      <alignment vertical="center" wrapText="1"/>
    </xf>
    <xf numFmtId="3" fontId="30" fillId="0" borderId="10" xfId="53" applyNumberFormat="1" applyFont="1" applyBorder="1" applyAlignment="1">
      <alignment wrapText="1"/>
    </xf>
    <xf numFmtId="3" fontId="32" fillId="0" borderId="10" xfId="53" applyNumberFormat="1" applyFont="1" applyBorder="1" applyAlignment="1">
      <alignment wrapText="1"/>
    </xf>
    <xf numFmtId="0" fontId="30" fillId="0" borderId="10" xfId="53" applyFont="1" applyBorder="1" applyAlignment="1">
      <alignment horizontal="center" vertical="center" wrapText="1"/>
    </xf>
    <xf numFmtId="0" fontId="26" fillId="0" borderId="0" xfId="51" applyFont="1" applyAlignment="1">
      <alignment horizontal="right"/>
    </xf>
    <xf numFmtId="3" fontId="36" fillId="0" borderId="29" xfId="53" applyNumberFormat="1" applyFont="1" applyBorder="1" applyAlignment="1">
      <alignment horizontal="center" wrapText="1"/>
    </xf>
    <xf numFmtId="0" fontId="36" fillId="0" borderId="29" xfId="53" applyFont="1" applyBorder="1" applyAlignment="1">
      <alignment horizontal="center" wrapText="1"/>
    </xf>
    <xf numFmtId="0" fontId="26" fillId="0" borderId="10" xfId="53" applyFont="1" applyBorder="1"/>
    <xf numFmtId="0" fontId="26" fillId="0" borderId="0" xfId="53" applyFont="1" applyBorder="1"/>
    <xf numFmtId="0" fontId="26" fillId="0" borderId="0" xfId="53" applyFont="1" applyBorder="1" applyAlignment="1">
      <alignment horizontal="right"/>
    </xf>
    <xf numFmtId="3" fontId="36" fillId="0" borderId="37" xfId="53" applyNumberFormat="1" applyFont="1" applyBorder="1" applyAlignment="1">
      <alignment horizontal="right"/>
    </xf>
    <xf numFmtId="0" fontId="36" fillId="0" borderId="38" xfId="53" applyFont="1" applyBorder="1" applyAlignment="1">
      <alignment horizontal="center" wrapText="1"/>
    </xf>
    <xf numFmtId="3" fontId="36" fillId="0" borderId="10" xfId="53" applyNumberFormat="1" applyFont="1" applyBorder="1"/>
    <xf numFmtId="3" fontId="26" fillId="0" borderId="10" xfId="53" applyNumberFormat="1" applyFont="1" applyBorder="1"/>
    <xf numFmtId="0" fontId="36" fillId="0" borderId="12" xfId="53" applyFont="1" applyBorder="1"/>
    <xf numFmtId="0" fontId="7" fillId="0" borderId="0" xfId="0" applyFont="1"/>
    <xf numFmtId="0" fontId="26" fillId="0" borderId="46" xfId="51" applyFont="1" applyBorder="1" applyAlignment="1">
      <alignment horizontal="right"/>
    </xf>
    <xf numFmtId="0" fontId="27" fillId="0" borderId="0" xfId="53" applyFont="1" applyBorder="1" applyAlignment="1">
      <alignment horizontal="right"/>
    </xf>
    <xf numFmtId="0" fontId="38" fillId="0" borderId="25" xfId="53" applyFont="1" applyBorder="1" applyAlignment="1">
      <alignment horizontal="center"/>
    </xf>
    <xf numFmtId="0" fontId="38" fillId="0" borderId="26" xfId="53" applyFont="1" applyBorder="1" applyAlignment="1">
      <alignment horizontal="center"/>
    </xf>
    <xf numFmtId="0" fontId="38" fillId="0" borderId="27" xfId="53" applyFont="1" applyBorder="1"/>
    <xf numFmtId="3" fontId="38" fillId="0" borderId="42" xfId="53" applyNumberFormat="1" applyFont="1" applyBorder="1"/>
    <xf numFmtId="3" fontId="38" fillId="0" borderId="12" xfId="53" applyNumberFormat="1" applyFont="1" applyBorder="1"/>
    <xf numFmtId="3" fontId="38" fillId="0" borderId="11" xfId="53" applyNumberFormat="1" applyFont="1" applyBorder="1"/>
    <xf numFmtId="0" fontId="38" fillId="0" borderId="19" xfId="53" applyFont="1" applyBorder="1" applyAlignment="1">
      <alignment horizontal="center"/>
    </xf>
    <xf numFmtId="0" fontId="38" fillId="0" borderId="20" xfId="53" applyFont="1" applyBorder="1" applyAlignment="1">
      <alignment horizontal="center"/>
    </xf>
    <xf numFmtId="0" fontId="38" fillId="0" borderId="31" xfId="53" applyFont="1" applyBorder="1"/>
    <xf numFmtId="3" fontId="38" fillId="0" borderId="31" xfId="53" applyNumberFormat="1" applyFont="1" applyBorder="1"/>
    <xf numFmtId="3" fontId="38" fillId="0" borderId="10" xfId="53" applyNumberFormat="1" applyFont="1" applyBorder="1"/>
    <xf numFmtId="3" fontId="38" fillId="0" borderId="34" xfId="53" applyNumberFormat="1" applyFont="1" applyBorder="1"/>
    <xf numFmtId="0" fontId="38" fillId="0" borderId="35" xfId="53" applyFont="1" applyBorder="1" applyAlignment="1">
      <alignment horizontal="center"/>
    </xf>
    <xf numFmtId="0" fontId="38" fillId="0" borderId="21" xfId="53" applyFont="1" applyBorder="1" applyAlignment="1">
      <alignment wrapText="1"/>
    </xf>
    <xf numFmtId="0" fontId="36" fillId="0" borderId="19" xfId="53" applyFont="1" applyBorder="1"/>
    <xf numFmtId="0" fontId="36" fillId="0" borderId="34" xfId="53" applyFont="1" applyBorder="1" applyAlignment="1">
      <alignment horizontal="center"/>
    </xf>
    <xf numFmtId="0" fontId="36" fillId="0" borderId="31" xfId="53" applyFont="1" applyBorder="1"/>
    <xf numFmtId="3" fontId="36" fillId="0" borderId="31" xfId="53" applyNumberFormat="1" applyFont="1" applyBorder="1"/>
    <xf numFmtId="3" fontId="36" fillId="0" borderId="34" xfId="53" applyNumberFormat="1" applyFont="1" applyBorder="1"/>
    <xf numFmtId="3" fontId="36" fillId="0" borderId="19" xfId="53" applyNumberFormat="1" applyFont="1" applyBorder="1"/>
    <xf numFmtId="3" fontId="36" fillId="0" borderId="35" xfId="53" applyNumberFormat="1" applyFont="1" applyBorder="1"/>
    <xf numFmtId="0" fontId="36" fillId="0" borderId="35" xfId="53" applyFont="1" applyBorder="1" applyAlignment="1">
      <alignment horizontal="center"/>
    </xf>
    <xf numFmtId="0" fontId="37" fillId="0" borderId="19" xfId="53" applyFont="1" applyBorder="1"/>
    <xf numFmtId="0" fontId="37" fillId="0" borderId="31" xfId="53" applyFont="1" applyBorder="1"/>
    <xf numFmtId="3" fontId="37" fillId="0" borderId="31" xfId="53" applyNumberFormat="1" applyFont="1" applyBorder="1"/>
    <xf numFmtId="3" fontId="37" fillId="0" borderId="10" xfId="53" applyNumberFormat="1" applyFont="1" applyBorder="1"/>
    <xf numFmtId="3" fontId="37" fillId="0" borderId="34" xfId="53" applyNumberFormat="1" applyFont="1" applyBorder="1"/>
    <xf numFmtId="0" fontId="36" fillId="0" borderId="19" xfId="53" applyFont="1" applyBorder="1" applyAlignment="1">
      <alignment horizontal="center"/>
    </xf>
    <xf numFmtId="0" fontId="37" fillId="0" borderId="19" xfId="53" applyFont="1" applyBorder="1" applyAlignment="1">
      <alignment horizontal="center"/>
    </xf>
    <xf numFmtId="0" fontId="37" fillId="0" borderId="35" xfId="53" applyFont="1" applyBorder="1" applyAlignment="1">
      <alignment horizontal="center"/>
    </xf>
    <xf numFmtId="3" fontId="38" fillId="0" borderId="31" xfId="53" applyNumberFormat="1" applyFont="1" applyBorder="1" applyAlignment="1">
      <alignment horizontal="right"/>
    </xf>
    <xf numFmtId="3" fontId="38" fillId="0" borderId="10" xfId="53" applyNumberFormat="1" applyFont="1" applyBorder="1" applyAlignment="1">
      <alignment horizontal="right"/>
    </xf>
    <xf numFmtId="3" fontId="38" fillId="0" borderId="34" xfId="53" applyNumberFormat="1" applyFont="1" applyBorder="1" applyAlignment="1">
      <alignment horizontal="right"/>
    </xf>
    <xf numFmtId="0" fontId="36" fillId="0" borderId="31" xfId="53" applyFont="1" applyBorder="1" applyAlignment="1">
      <alignment wrapText="1"/>
    </xf>
    <xf numFmtId="0" fontId="36" fillId="0" borderId="34" xfId="53" applyFont="1" applyBorder="1"/>
    <xf numFmtId="0" fontId="39" fillId="0" borderId="31" xfId="53" applyFont="1" applyBorder="1"/>
    <xf numFmtId="3" fontId="39" fillId="0" borderId="31" xfId="53" applyNumberFormat="1" applyFont="1" applyBorder="1"/>
    <xf numFmtId="3" fontId="39" fillId="0" borderId="10" xfId="53" applyNumberFormat="1" applyFont="1" applyBorder="1"/>
    <xf numFmtId="3" fontId="39" fillId="0" borderId="34" xfId="53" applyNumberFormat="1" applyFont="1" applyBorder="1"/>
    <xf numFmtId="3" fontId="36" fillId="0" borderId="31" xfId="53" applyNumberFormat="1" applyFont="1" applyBorder="1" applyAlignment="1">
      <alignment wrapText="1"/>
    </xf>
    <xf numFmtId="3" fontId="36" fillId="0" borderId="10" xfId="53" applyNumberFormat="1" applyFont="1" applyBorder="1" applyAlignment="1">
      <alignment wrapText="1"/>
    </xf>
    <xf numFmtId="3" fontId="36" fillId="0" borderId="34" xfId="53" applyNumberFormat="1" applyFont="1" applyBorder="1" applyAlignment="1">
      <alignment wrapText="1"/>
    </xf>
    <xf numFmtId="3" fontId="36" fillId="0" borderId="35" xfId="53" applyNumberFormat="1" applyFont="1" applyBorder="1" applyAlignment="1">
      <alignment wrapText="1"/>
    </xf>
    <xf numFmtId="16" fontId="36" fillId="0" borderId="31" xfId="53" applyNumberFormat="1" applyFont="1" applyBorder="1" applyAlignment="1">
      <alignment wrapText="1"/>
    </xf>
    <xf numFmtId="3" fontId="26" fillId="0" borderId="31" xfId="53" applyNumberFormat="1" applyFont="1" applyBorder="1"/>
    <xf numFmtId="3" fontId="26" fillId="0" borderId="34" xfId="53" applyNumberFormat="1" applyFont="1" applyBorder="1"/>
    <xf numFmtId="0" fontId="36" fillId="0" borderId="19" xfId="53" applyFont="1" applyBorder="1" applyAlignment="1">
      <alignment horizontal="center" wrapText="1"/>
    </xf>
    <xf numFmtId="0" fontId="39" fillId="0" borderId="35" xfId="53" applyFont="1" applyBorder="1" applyAlignment="1">
      <alignment horizontal="center"/>
    </xf>
    <xf numFmtId="16" fontId="36" fillId="0" borderId="31" xfId="53" applyNumberFormat="1" applyFont="1" applyBorder="1"/>
    <xf numFmtId="0" fontId="38" fillId="0" borderId="19" xfId="53" applyFont="1" applyBorder="1"/>
    <xf numFmtId="0" fontId="36" fillId="0" borderId="35" xfId="53" applyFont="1" applyBorder="1" applyAlignment="1">
      <alignment horizontal="center" wrapText="1"/>
    </xf>
    <xf numFmtId="0" fontId="36" fillId="0" borderId="21" xfId="53" applyFont="1" applyBorder="1" applyAlignment="1">
      <alignment wrapText="1"/>
    </xf>
    <xf numFmtId="0" fontId="40" fillId="0" borderId="35" xfId="53" applyFont="1" applyBorder="1"/>
    <xf numFmtId="0" fontId="40" fillId="0" borderId="31" xfId="53" applyFont="1" applyBorder="1"/>
    <xf numFmtId="0" fontId="36" fillId="0" borderId="21" xfId="53" applyFont="1" applyBorder="1"/>
    <xf numFmtId="0" fontId="36" fillId="0" borderId="35" xfId="53" applyFont="1" applyBorder="1"/>
    <xf numFmtId="0" fontId="36" fillId="0" borderId="22" xfId="53" applyFont="1" applyBorder="1"/>
    <xf numFmtId="0" fontId="36" fillId="0" borderId="39" xfId="53" applyFont="1" applyBorder="1"/>
    <xf numFmtId="0" fontId="38" fillId="0" borderId="33" xfId="53" applyFont="1" applyBorder="1"/>
    <xf numFmtId="3" fontId="38" fillId="0" borderId="33" xfId="53" applyNumberFormat="1" applyFont="1" applyBorder="1"/>
    <xf numFmtId="3" fontId="38" fillId="0" borderId="40" xfId="53" applyNumberFormat="1" applyFont="1" applyBorder="1"/>
    <xf numFmtId="3" fontId="38" fillId="0" borderId="43" xfId="53" applyNumberFormat="1" applyFont="1" applyBorder="1"/>
    <xf numFmtId="0" fontId="27" fillId="0" borderId="0" xfId="51" applyFont="1" applyAlignment="1">
      <alignment horizontal="right"/>
    </xf>
    <xf numFmtId="0" fontId="38" fillId="0" borderId="15" xfId="53" applyFont="1" applyBorder="1" applyAlignment="1">
      <alignment horizontal="center"/>
    </xf>
    <xf numFmtId="0" fontId="38" fillId="0" borderId="16" xfId="53" applyFont="1" applyBorder="1" applyAlignment="1">
      <alignment horizontal="center"/>
    </xf>
    <xf numFmtId="0" fontId="38" fillId="0" borderId="17" xfId="53" applyFont="1" applyBorder="1" applyAlignment="1">
      <alignment horizontal="center"/>
    </xf>
    <xf numFmtId="0" fontId="38" fillId="0" borderId="18" xfId="53" applyFont="1" applyBorder="1" applyAlignment="1">
      <alignment horizontal="center"/>
    </xf>
    <xf numFmtId="0" fontId="36" fillId="0" borderId="24" xfId="53" applyFont="1" applyBorder="1" applyAlignment="1">
      <alignment horizontal="right"/>
    </xf>
    <xf numFmtId="0" fontId="36" fillId="0" borderId="23" xfId="53" applyFont="1" applyBorder="1"/>
    <xf numFmtId="3" fontId="36" fillId="0" borderId="28" xfId="53" applyNumberFormat="1" applyFont="1" applyBorder="1" applyAlignment="1">
      <alignment horizontal="right"/>
    </xf>
    <xf numFmtId="0" fontId="36" fillId="0" borderId="30" xfId="53" applyFont="1" applyBorder="1" applyAlignment="1">
      <alignment horizontal="center" wrapText="1"/>
    </xf>
    <xf numFmtId="0" fontId="38" fillId="0" borderId="16" xfId="53" applyFont="1" applyBorder="1"/>
    <xf numFmtId="0" fontId="38" fillId="0" borderId="17" xfId="53" applyFont="1" applyBorder="1" applyAlignment="1">
      <alignment horizontal="right"/>
    </xf>
    <xf numFmtId="0" fontId="38" fillId="0" borderId="18" xfId="53" applyFont="1" applyBorder="1"/>
    <xf numFmtId="0" fontId="38" fillId="0" borderId="32" xfId="53" applyFont="1" applyBorder="1"/>
    <xf numFmtId="0" fontId="38" fillId="0" borderId="44" xfId="53" applyFont="1" applyBorder="1"/>
    <xf numFmtId="0" fontId="36" fillId="0" borderId="35" xfId="53" applyFont="1" applyBorder="1" applyAlignment="1">
      <alignment horizontal="right"/>
    </xf>
    <xf numFmtId="3" fontId="36" fillId="0" borderId="36" xfId="53" applyNumberFormat="1" applyFont="1" applyBorder="1"/>
    <xf numFmtId="3" fontId="38" fillId="0" borderId="36" xfId="53" applyNumberFormat="1" applyFont="1" applyBorder="1"/>
    <xf numFmtId="0" fontId="36" fillId="0" borderId="19" xfId="53" applyFont="1" applyBorder="1" applyAlignment="1">
      <alignment wrapText="1"/>
    </xf>
    <xf numFmtId="0" fontId="36" fillId="0" borderId="35" xfId="53" applyFont="1" applyBorder="1" applyAlignment="1">
      <alignment wrapText="1"/>
    </xf>
    <xf numFmtId="3" fontId="36" fillId="0" borderId="36" xfId="53" applyNumberFormat="1" applyFont="1" applyBorder="1" applyAlignment="1">
      <alignment wrapText="1"/>
    </xf>
    <xf numFmtId="0" fontId="38" fillId="0" borderId="21" xfId="53" applyFont="1" applyBorder="1"/>
    <xf numFmtId="0" fontId="38" fillId="0" borderId="35" xfId="53" applyFont="1" applyBorder="1" applyAlignment="1">
      <alignment horizontal="right"/>
    </xf>
    <xf numFmtId="0" fontId="37" fillId="0" borderId="35" xfId="53" applyFont="1" applyBorder="1" applyAlignment="1">
      <alignment horizontal="right"/>
    </xf>
    <xf numFmtId="0" fontId="37" fillId="0" borderId="21" xfId="53" applyFont="1" applyBorder="1"/>
    <xf numFmtId="3" fontId="37" fillId="0" borderId="36" xfId="53" applyNumberFormat="1" applyFont="1" applyBorder="1"/>
    <xf numFmtId="3" fontId="38" fillId="0" borderId="31" xfId="53" applyNumberFormat="1" applyFont="1" applyBorder="1" applyAlignment="1">
      <alignment wrapText="1"/>
    </xf>
    <xf numFmtId="3" fontId="38" fillId="0" borderId="10" xfId="53" applyNumberFormat="1" applyFont="1" applyBorder="1" applyAlignment="1">
      <alignment wrapText="1"/>
    </xf>
    <xf numFmtId="3" fontId="38" fillId="0" borderId="36" xfId="53" applyNumberFormat="1" applyFont="1" applyBorder="1" applyAlignment="1">
      <alignment wrapText="1"/>
    </xf>
    <xf numFmtId="3" fontId="38" fillId="0" borderId="34" xfId="53" applyNumberFormat="1" applyFont="1" applyBorder="1" applyAlignment="1">
      <alignment wrapText="1"/>
    </xf>
    <xf numFmtId="49" fontId="36" fillId="0" borderId="21" xfId="53" quotePrefix="1" applyNumberFormat="1" applyFont="1" applyBorder="1" applyAlignment="1">
      <alignment wrapText="1"/>
    </xf>
    <xf numFmtId="0" fontId="36" fillId="0" borderId="21" xfId="53" quotePrefix="1" applyFont="1" applyBorder="1" applyAlignment="1">
      <alignment wrapText="1"/>
    </xf>
    <xf numFmtId="0" fontId="39" fillId="0" borderId="21" xfId="53" applyFont="1" applyBorder="1" applyAlignment="1">
      <alignment wrapText="1"/>
    </xf>
    <xf numFmtId="3" fontId="39" fillId="0" borderId="31" xfId="53" applyNumberFormat="1" applyFont="1" applyBorder="1" applyAlignment="1">
      <alignment wrapText="1"/>
    </xf>
    <xf numFmtId="3" fontId="39" fillId="0" borderId="10" xfId="53" applyNumberFormat="1" applyFont="1" applyBorder="1" applyAlignment="1">
      <alignment wrapText="1"/>
    </xf>
    <xf numFmtId="3" fontId="39" fillId="0" borderId="36" xfId="53" applyNumberFormat="1" applyFont="1" applyBorder="1" applyAlignment="1">
      <alignment wrapText="1"/>
    </xf>
    <xf numFmtId="3" fontId="39" fillId="0" borderId="34" xfId="53" applyNumberFormat="1" applyFont="1" applyBorder="1" applyAlignment="1">
      <alignment wrapText="1"/>
    </xf>
    <xf numFmtId="0" fontId="37" fillId="0" borderId="21" xfId="53" applyFont="1" applyBorder="1" applyAlignment="1">
      <alignment wrapText="1"/>
    </xf>
    <xf numFmtId="3" fontId="37" fillId="0" borderId="31" xfId="53" applyNumberFormat="1" applyFont="1" applyBorder="1" applyAlignment="1">
      <alignment wrapText="1"/>
    </xf>
    <xf numFmtId="3" fontId="37" fillId="0" borderId="10" xfId="53" applyNumberFormat="1" applyFont="1" applyBorder="1" applyAlignment="1">
      <alignment wrapText="1"/>
    </xf>
    <xf numFmtId="3" fontId="37" fillId="0" borderId="36" xfId="53" applyNumberFormat="1" applyFont="1" applyBorder="1" applyAlignment="1">
      <alignment wrapText="1"/>
    </xf>
    <xf numFmtId="3" fontId="37" fillId="0" borderId="34" xfId="53" applyNumberFormat="1" applyFont="1" applyBorder="1" applyAlignment="1">
      <alignment wrapText="1"/>
    </xf>
    <xf numFmtId="0" fontId="39" fillId="0" borderId="19" xfId="53" applyFont="1" applyBorder="1"/>
    <xf numFmtId="0" fontId="26" fillId="0" borderId="13" xfId="53" applyFont="1" applyBorder="1" applyAlignment="1">
      <alignment horizontal="right"/>
    </xf>
    <xf numFmtId="16" fontId="36" fillId="0" borderId="21" xfId="53" applyNumberFormat="1" applyFont="1" applyBorder="1" applyAlignment="1">
      <alignment wrapText="1"/>
    </xf>
    <xf numFmtId="0" fontId="39" fillId="0" borderId="19" xfId="53" applyFont="1" applyBorder="1" applyAlignment="1">
      <alignment wrapText="1"/>
    </xf>
    <xf numFmtId="0" fontId="39" fillId="0" borderId="35" xfId="53" applyFont="1" applyBorder="1" applyAlignment="1">
      <alignment wrapText="1"/>
    </xf>
    <xf numFmtId="0" fontId="36" fillId="0" borderId="35" xfId="53" applyFont="1" applyBorder="1" applyAlignment="1">
      <alignment horizontal="right" wrapText="1"/>
    </xf>
    <xf numFmtId="0" fontId="27" fillId="0" borderId="13" xfId="53" applyFont="1" applyBorder="1"/>
    <xf numFmtId="0" fontId="39" fillId="0" borderId="35" xfId="53" applyFont="1" applyBorder="1" applyAlignment="1">
      <alignment horizontal="right"/>
    </xf>
    <xf numFmtId="0" fontId="28" fillId="0" borderId="19" xfId="53" applyFont="1" applyBorder="1"/>
    <xf numFmtId="0" fontId="38" fillId="0" borderId="34" xfId="53" applyFont="1" applyBorder="1" applyAlignment="1">
      <alignment horizontal="right"/>
    </xf>
    <xf numFmtId="0" fontId="26" fillId="0" borderId="13" xfId="53" applyFont="1" applyBorder="1"/>
    <xf numFmtId="0" fontId="36" fillId="0" borderId="20" xfId="53" applyFont="1" applyBorder="1"/>
    <xf numFmtId="0" fontId="7" fillId="0" borderId="34" xfId="51" applyBorder="1"/>
    <xf numFmtId="0" fontId="7" fillId="0" borderId="35" xfId="51" applyBorder="1"/>
    <xf numFmtId="3" fontId="38" fillId="0" borderId="31" xfId="51" applyNumberFormat="1" applyFont="1" applyBorder="1"/>
    <xf numFmtId="3" fontId="38" fillId="0" borderId="10" xfId="51" applyNumberFormat="1" applyFont="1" applyBorder="1"/>
    <xf numFmtId="3" fontId="38" fillId="0" borderId="34" xfId="51" applyNumberFormat="1" applyFont="1" applyBorder="1"/>
    <xf numFmtId="0" fontId="38" fillId="0" borderId="20" xfId="53" applyFont="1" applyBorder="1" applyAlignment="1">
      <alignment horizontal="right"/>
    </xf>
    <xf numFmtId="0" fontId="36" fillId="0" borderId="20" xfId="53" applyFont="1" applyBorder="1" applyAlignment="1">
      <alignment horizontal="right" vertical="center"/>
    </xf>
    <xf numFmtId="0" fontId="36" fillId="0" borderId="21" xfId="53" applyFont="1" applyBorder="1" applyAlignment="1">
      <alignment vertical="top" wrapText="1"/>
    </xf>
    <xf numFmtId="3" fontId="36" fillId="0" borderId="31" xfId="53" applyNumberFormat="1" applyFont="1" applyBorder="1" applyAlignment="1">
      <alignment vertical="top" wrapText="1"/>
    </xf>
    <xf numFmtId="3" fontId="36" fillId="0" borderId="10" xfId="53" applyNumberFormat="1" applyFont="1" applyBorder="1" applyAlignment="1">
      <alignment vertical="top" wrapText="1"/>
    </xf>
    <xf numFmtId="3" fontId="36" fillId="0" borderId="34" xfId="53" applyNumberFormat="1" applyFont="1" applyBorder="1" applyAlignment="1">
      <alignment vertical="top" wrapText="1"/>
    </xf>
    <xf numFmtId="0" fontId="36" fillId="0" borderId="20" xfId="53" applyFont="1" applyBorder="1" applyAlignment="1">
      <alignment horizontal="right"/>
    </xf>
    <xf numFmtId="0" fontId="37" fillId="0" borderId="20" xfId="53" applyFont="1" applyBorder="1" applyAlignment="1">
      <alignment horizontal="right"/>
    </xf>
    <xf numFmtId="0" fontId="37" fillId="0" borderId="25" xfId="53" applyFont="1" applyBorder="1"/>
    <xf numFmtId="0" fontId="39" fillId="0" borderId="20" xfId="53" applyFont="1" applyBorder="1" applyAlignment="1">
      <alignment horizontal="right"/>
    </xf>
    <xf numFmtId="0" fontId="38" fillId="0" borderId="23" xfId="53" applyFont="1" applyBorder="1"/>
    <xf numFmtId="3" fontId="38" fillId="0" borderId="45" xfId="53" applyNumberFormat="1" applyFont="1" applyBorder="1"/>
    <xf numFmtId="0" fontId="26" fillId="0" borderId="14" xfId="53" applyFont="1" applyBorder="1"/>
    <xf numFmtId="0" fontId="26" fillId="0" borderId="12" xfId="53" applyFont="1" applyBorder="1" applyAlignment="1">
      <alignment horizontal="right"/>
    </xf>
    <xf numFmtId="0" fontId="26" fillId="0" borderId="10" xfId="53" applyFont="1" applyBorder="1" applyAlignment="1">
      <alignment horizontal="right"/>
    </xf>
    <xf numFmtId="0" fontId="48" fillId="0" borderId="0" xfId="51" applyFont="1"/>
    <xf numFmtId="3" fontId="48" fillId="0" borderId="0" xfId="51" applyNumberFormat="1" applyFont="1"/>
    <xf numFmtId="0" fontId="49" fillId="0" borderId="0" xfId="51" applyFont="1"/>
    <xf numFmtId="0" fontId="49" fillId="0" borderId="0" xfId="51" applyFont="1" applyAlignment="1">
      <alignment horizontal="center"/>
    </xf>
    <xf numFmtId="0" fontId="49" fillId="0" borderId="0" xfId="51" applyFont="1" applyAlignment="1">
      <alignment horizontal="center" wrapText="1"/>
    </xf>
    <xf numFmtId="3" fontId="48" fillId="0" borderId="0" xfId="51" applyNumberFormat="1" applyFont="1" applyAlignment="1">
      <alignment horizontal="right"/>
    </xf>
    <xf numFmtId="0" fontId="48" fillId="0" borderId="0" xfId="51" applyFont="1" applyAlignment="1">
      <alignment horizontal="center"/>
    </xf>
    <xf numFmtId="0" fontId="48" fillId="0" borderId="0" xfId="51" applyFont="1" applyAlignment="1">
      <alignment wrapText="1"/>
    </xf>
    <xf numFmtId="0" fontId="48" fillId="0" borderId="0" xfId="51" applyFont="1" applyAlignment="1">
      <alignment horizontal="right"/>
    </xf>
    <xf numFmtId="0" fontId="49" fillId="0" borderId="10" xfId="51" applyFont="1" applyBorder="1" applyAlignment="1">
      <alignment horizontal="center" vertical="center"/>
    </xf>
    <xf numFmtId="0" fontId="48" fillId="0" borderId="10" xfId="51" applyFont="1" applyBorder="1" applyAlignment="1">
      <alignment horizontal="right"/>
    </xf>
    <xf numFmtId="3" fontId="49" fillId="0" borderId="10" xfId="51" applyNumberFormat="1" applyFont="1" applyBorder="1" applyAlignment="1">
      <alignment horizontal="center" vertical="center"/>
    </xf>
    <xf numFmtId="3" fontId="49" fillId="0" borderId="10" xfId="51" applyNumberFormat="1" applyFont="1" applyBorder="1" applyAlignment="1">
      <alignment horizontal="right" vertical="center"/>
    </xf>
    <xf numFmtId="0" fontId="48" fillId="0" borderId="12" xfId="51" applyFont="1" applyBorder="1" applyAlignment="1">
      <alignment horizontal="center"/>
    </xf>
    <xf numFmtId="0" fontId="48" fillId="0" borderId="12" xfId="51" applyFont="1" applyBorder="1" applyAlignment="1">
      <alignment wrapText="1"/>
    </xf>
    <xf numFmtId="3" fontId="48" fillId="0" borderId="12" xfId="51" applyNumberFormat="1" applyFont="1" applyBorder="1"/>
    <xf numFmtId="0" fontId="48" fillId="0" borderId="12" xfId="51" applyFont="1" applyBorder="1"/>
    <xf numFmtId="3" fontId="50" fillId="0" borderId="12" xfId="51" applyNumberFormat="1" applyFont="1" applyBorder="1"/>
    <xf numFmtId="0" fontId="48" fillId="0" borderId="10" xfId="51" applyFont="1" applyBorder="1" applyAlignment="1">
      <alignment horizontal="center"/>
    </xf>
    <xf numFmtId="0" fontId="48" fillId="0" borderId="10" xfId="51" applyFont="1" applyBorder="1" applyAlignment="1">
      <alignment wrapText="1"/>
    </xf>
    <xf numFmtId="3" fontId="48" fillId="0" borderId="10" xfId="51" applyNumberFormat="1" applyFont="1" applyBorder="1"/>
    <xf numFmtId="0" fontId="48" fillId="0" borderId="10" xfId="51" applyFont="1" applyBorder="1"/>
    <xf numFmtId="3" fontId="50" fillId="0" borderId="10" xfId="51" applyNumberFormat="1" applyFont="1" applyBorder="1"/>
    <xf numFmtId="0" fontId="49" fillId="0" borderId="10" xfId="51" applyFont="1" applyBorder="1" applyAlignment="1">
      <alignment horizontal="right" wrapText="1"/>
    </xf>
    <xf numFmtId="0" fontId="49" fillId="0" borderId="0" xfId="51" applyFont="1" applyAlignment="1">
      <alignment horizontal="right" wrapText="1"/>
    </xf>
    <xf numFmtId="3" fontId="50" fillId="0" borderId="0" xfId="51" applyNumberFormat="1" applyFont="1"/>
    <xf numFmtId="3" fontId="49" fillId="0" borderId="10" xfId="51" applyNumberFormat="1" applyFont="1" applyBorder="1"/>
    <xf numFmtId="3" fontId="48" fillId="0" borderId="36" xfId="51" applyNumberFormat="1" applyFont="1" applyBorder="1"/>
    <xf numFmtId="0" fontId="51" fillId="0" borderId="0" xfId="66"/>
    <xf numFmtId="0" fontId="51" fillId="0" borderId="0" xfId="66" applyAlignment="1">
      <alignment wrapText="1"/>
    </xf>
    <xf numFmtId="0" fontId="50" fillId="0" borderId="0" xfId="66" applyFont="1" applyAlignment="1">
      <alignment horizontal="center"/>
    </xf>
    <xf numFmtId="0" fontId="50" fillId="0" borderId="0" xfId="66" applyFont="1" applyAlignment="1">
      <alignment wrapText="1"/>
    </xf>
    <xf numFmtId="0" fontId="50" fillId="0" borderId="0" xfId="66" applyFont="1"/>
    <xf numFmtId="0" fontId="51" fillId="0" borderId="0" xfId="66" applyAlignment="1">
      <alignment horizontal="right"/>
    </xf>
    <xf numFmtId="0" fontId="51" fillId="0" borderId="10" xfId="66" applyBorder="1" applyAlignment="1">
      <alignment wrapText="1"/>
    </xf>
    <xf numFmtId="0" fontId="50" fillId="0" borderId="10" xfId="66" applyFont="1" applyBorder="1" applyAlignment="1">
      <alignment horizontal="center" wrapText="1"/>
    </xf>
    <xf numFmtId="0" fontId="33" fillId="0" borderId="36" xfId="67" applyFont="1" applyBorder="1" applyAlignment="1">
      <alignment horizontal="center" wrapText="1"/>
    </xf>
    <xf numFmtId="0" fontId="51" fillId="0" borderId="10" xfId="66" applyBorder="1" applyAlignment="1">
      <alignment vertical="center"/>
    </xf>
    <xf numFmtId="0" fontId="51" fillId="0" borderId="10" xfId="66" applyBorder="1" applyAlignment="1">
      <alignment vertical="center" wrapText="1"/>
    </xf>
    <xf numFmtId="0" fontId="51" fillId="0" borderId="10" xfId="66" applyBorder="1" applyAlignment="1">
      <alignment horizontal="center" vertical="center"/>
    </xf>
    <xf numFmtId="3" fontId="51" fillId="0" borderId="10" xfId="66" applyNumberFormat="1" applyBorder="1" applyAlignment="1">
      <alignment horizontal="right" vertical="center"/>
    </xf>
    <xf numFmtId="49" fontId="51" fillId="0" borderId="10" xfId="66" applyNumberFormat="1" applyBorder="1" applyAlignment="1">
      <alignment horizontal="center" vertical="center"/>
    </xf>
    <xf numFmtId="3" fontId="30" fillId="0" borderId="36" xfId="67" applyNumberFormat="1" applyFont="1" applyBorder="1" applyAlignment="1">
      <alignment vertical="center"/>
    </xf>
    <xf numFmtId="3" fontId="30" fillId="0" borderId="10" xfId="67" applyNumberFormat="1" applyFont="1" applyBorder="1" applyAlignment="1">
      <alignment vertical="center"/>
    </xf>
    <xf numFmtId="3" fontId="51" fillId="0" borderId="0" xfId="66" applyNumberFormat="1"/>
    <xf numFmtId="3" fontId="51" fillId="0" borderId="36" xfId="66" applyNumberFormat="1" applyBorder="1" applyAlignment="1">
      <alignment horizontal="right" vertical="center"/>
    </xf>
    <xf numFmtId="3" fontId="51" fillId="0" borderId="10" xfId="66" applyNumberFormat="1" applyBorder="1" applyAlignment="1">
      <alignment vertical="center"/>
    </xf>
    <xf numFmtId="0" fontId="30" fillId="0" borderId="0" xfId="67" applyFont="1"/>
    <xf numFmtId="3" fontId="26" fillId="0" borderId="0" xfId="53" applyNumberFormat="1" applyFont="1" applyBorder="1"/>
    <xf numFmtId="0" fontId="30" fillId="0" borderId="36" xfId="53" applyFont="1" applyBorder="1" applyAlignment="1">
      <alignment horizontal="center" vertical="center" wrapText="1"/>
    </xf>
    <xf numFmtId="0" fontId="32" fillId="0" borderId="10" xfId="53" applyFont="1" applyBorder="1" applyAlignment="1">
      <alignment horizontal="center" vertical="center" wrapText="1"/>
    </xf>
    <xf numFmtId="0" fontId="38" fillId="0" borderId="19" xfId="53" applyFont="1" applyBorder="1" applyAlignment="1">
      <alignment horizontal="right"/>
    </xf>
    <xf numFmtId="0" fontId="30" fillId="0" borderId="0" xfId="66" applyFont="1" applyAlignment="1">
      <alignment wrapText="1"/>
    </xf>
    <xf numFmtId="49" fontId="30" fillId="0" borderId="0" xfId="66" applyNumberFormat="1" applyFont="1" applyAlignment="1">
      <alignment wrapText="1"/>
    </xf>
    <xf numFmtId="0" fontId="30" fillId="0" borderId="0" xfId="66" applyFont="1" applyAlignment="1">
      <alignment horizontal="center"/>
    </xf>
    <xf numFmtId="3" fontId="30" fillId="0" borderId="0" xfId="66" applyNumberFormat="1" applyFont="1" applyAlignment="1">
      <alignment horizontal="right"/>
    </xf>
    <xf numFmtId="0" fontId="30" fillId="0" borderId="0" xfId="66" applyFont="1" applyAlignment="1">
      <alignment horizontal="center" wrapText="1"/>
    </xf>
    <xf numFmtId="3" fontId="30" fillId="0" borderId="0" xfId="66" applyNumberFormat="1" applyFont="1" applyAlignment="1">
      <alignment horizontal="center"/>
    </xf>
    <xf numFmtId="3" fontId="30" fillId="0" borderId="0" xfId="66" applyNumberFormat="1" applyFont="1"/>
    <xf numFmtId="164" fontId="53" fillId="0" borderId="0" xfId="66" applyNumberFormat="1" applyFont="1" applyAlignment="1">
      <alignment horizontal="center" vertical="center"/>
    </xf>
    <xf numFmtId="0" fontId="54" fillId="0" borderId="0" xfId="51" applyFont="1"/>
    <xf numFmtId="9" fontId="54" fillId="0" borderId="0" xfId="51" applyNumberFormat="1" applyFont="1"/>
    <xf numFmtId="49" fontId="30" fillId="0" borderId="16" xfId="66" applyNumberFormat="1" applyFont="1" applyBorder="1" applyAlignment="1">
      <alignment horizontal="left" vertical="center" wrapText="1"/>
    </xf>
    <xf numFmtId="0" fontId="30" fillId="0" borderId="32" xfId="51" applyFont="1" applyBorder="1"/>
    <xf numFmtId="14" fontId="30" fillId="0" borderId="32" xfId="66" applyNumberFormat="1" applyFont="1" applyBorder="1" applyAlignment="1">
      <alignment horizontal="center" vertical="center" wrapText="1"/>
    </xf>
    <xf numFmtId="3" fontId="30" fillId="0" borderId="32" xfId="66" applyNumberFormat="1" applyFont="1" applyBorder="1" applyAlignment="1">
      <alignment horizontal="right" vertical="center" wrapText="1"/>
    </xf>
    <xf numFmtId="3" fontId="30" fillId="0" borderId="17" xfId="66" applyNumberFormat="1" applyFont="1" applyBorder="1" applyAlignment="1">
      <alignment horizontal="right" vertical="center" wrapText="1"/>
    </xf>
    <xf numFmtId="0" fontId="30" fillId="0" borderId="0" xfId="51" applyFont="1"/>
    <xf numFmtId="0" fontId="30" fillId="0" borderId="19" xfId="66" applyFont="1" applyBorder="1" applyAlignment="1">
      <alignment horizontal="left" vertical="center" wrapText="1"/>
    </xf>
    <xf numFmtId="49" fontId="30" fillId="0" borderId="10" xfId="66" applyNumberFormat="1" applyFont="1" applyBorder="1" applyAlignment="1">
      <alignment horizontal="left" vertical="center" wrapText="1"/>
    </xf>
    <xf numFmtId="0" fontId="30" fillId="0" borderId="10" xfId="66" applyFont="1" applyBorder="1" applyAlignment="1">
      <alignment horizontal="center" vertical="center" wrapText="1"/>
    </xf>
    <xf numFmtId="3" fontId="30" fillId="0" borderId="10" xfId="66" applyNumberFormat="1" applyFont="1" applyBorder="1" applyAlignment="1">
      <alignment horizontal="right" vertical="center" wrapText="1"/>
    </xf>
    <xf numFmtId="3" fontId="30" fillId="0" borderId="20" xfId="66" applyNumberFormat="1" applyFont="1" applyBorder="1" applyAlignment="1">
      <alignment horizontal="right" vertical="center" wrapText="1"/>
    </xf>
    <xf numFmtId="3" fontId="30" fillId="0" borderId="0" xfId="51" applyNumberFormat="1" applyFont="1"/>
    <xf numFmtId="0" fontId="30" fillId="0" borderId="10" xfId="51" applyFont="1" applyBorder="1"/>
    <xf numFmtId="0" fontId="30" fillId="0" borderId="19" xfId="51" applyFont="1" applyBorder="1"/>
    <xf numFmtId="0" fontId="55" fillId="0" borderId="0" xfId="51" applyFont="1"/>
    <xf numFmtId="3" fontId="55" fillId="0" borderId="0" xfId="51" applyNumberFormat="1" applyFont="1"/>
    <xf numFmtId="0" fontId="30" fillId="0" borderId="19" xfId="66" applyFont="1" applyBorder="1"/>
    <xf numFmtId="49" fontId="30" fillId="0" borderId="10" xfId="66" applyNumberFormat="1" applyFont="1" applyBorder="1"/>
    <xf numFmtId="14" fontId="30" fillId="0" borderId="10" xfId="66" applyNumberFormat="1" applyFont="1" applyBorder="1" applyAlignment="1">
      <alignment horizontal="center"/>
    </xf>
    <xf numFmtId="3" fontId="30" fillId="0" borderId="10" xfId="66" applyNumberFormat="1" applyFont="1" applyBorder="1" applyAlignment="1">
      <alignment horizontal="right"/>
    </xf>
    <xf numFmtId="3" fontId="30" fillId="0" borderId="20" xfId="66" applyNumberFormat="1" applyFont="1" applyBorder="1"/>
    <xf numFmtId="0" fontId="56" fillId="0" borderId="19" xfId="66" applyFont="1" applyBorder="1"/>
    <xf numFmtId="49" fontId="56" fillId="0" borderId="10" xfId="66" applyNumberFormat="1" applyFont="1" applyBorder="1"/>
    <xf numFmtId="14" fontId="56" fillId="0" borderId="10" xfId="66" applyNumberFormat="1" applyFont="1" applyBorder="1" applyAlignment="1">
      <alignment horizontal="center"/>
    </xf>
    <xf numFmtId="3" fontId="56" fillId="0" borderId="10" xfId="66" applyNumberFormat="1" applyFont="1" applyBorder="1" applyAlignment="1">
      <alignment horizontal="right"/>
    </xf>
    <xf numFmtId="3" fontId="56" fillId="0" borderId="20" xfId="66" applyNumberFormat="1" applyFont="1" applyBorder="1"/>
    <xf numFmtId="49" fontId="30" fillId="0" borderId="10" xfId="66" applyNumberFormat="1" applyFont="1" applyBorder="1" applyAlignment="1">
      <alignment wrapText="1"/>
    </xf>
    <xf numFmtId="0" fontId="30" fillId="0" borderId="10" xfId="51" applyFont="1" applyBorder="1" applyAlignment="1">
      <alignment wrapText="1"/>
    </xf>
    <xf numFmtId="14" fontId="30" fillId="0" borderId="10" xfId="66" applyNumberFormat="1" applyFont="1" applyBorder="1" applyAlignment="1">
      <alignment horizontal="center" wrapText="1"/>
    </xf>
    <xf numFmtId="0" fontId="30" fillId="0" borderId="10" xfId="66" applyFont="1" applyBorder="1"/>
    <xf numFmtId="0" fontId="30" fillId="0" borderId="10" xfId="66" applyFont="1" applyBorder="1" applyAlignment="1">
      <alignment horizontal="center"/>
    </xf>
    <xf numFmtId="3" fontId="30" fillId="0" borderId="10" xfId="66" applyNumberFormat="1" applyFont="1" applyBorder="1"/>
    <xf numFmtId="0" fontId="30" fillId="0" borderId="19" xfId="66" applyFont="1" applyBorder="1" applyAlignment="1">
      <alignment horizontal="left"/>
    </xf>
    <xf numFmtId="0" fontId="30" fillId="0" borderId="10" xfId="66" applyFont="1" applyBorder="1" applyAlignment="1">
      <alignment horizontal="left"/>
    </xf>
    <xf numFmtId="3" fontId="30" fillId="0" borderId="10" xfId="66" applyNumberFormat="1" applyFont="1" applyBorder="1" applyAlignment="1">
      <alignment horizontal="right" vertical="center"/>
    </xf>
    <xf numFmtId="3" fontId="30" fillId="0" borderId="20" xfId="66" applyNumberFormat="1" applyFont="1" applyBorder="1" applyAlignment="1">
      <alignment horizontal="right" vertical="center"/>
    </xf>
    <xf numFmtId="3" fontId="32" fillId="0" borderId="0" xfId="51" applyNumberFormat="1" applyFont="1"/>
    <xf numFmtId="0" fontId="56" fillId="0" borderId="19" xfId="66" applyFont="1" applyBorder="1" applyAlignment="1">
      <alignment horizontal="left"/>
    </xf>
    <xf numFmtId="0" fontId="56" fillId="0" borderId="10" xfId="66" applyFont="1" applyBorder="1" applyAlignment="1">
      <alignment horizontal="left"/>
    </xf>
    <xf numFmtId="3" fontId="56" fillId="0" borderId="10" xfId="66" applyNumberFormat="1" applyFont="1" applyBorder="1" applyAlignment="1">
      <alignment horizontal="right" vertical="center"/>
    </xf>
    <xf numFmtId="3" fontId="56" fillId="0" borderId="20" xfId="66" applyNumberFormat="1" applyFont="1" applyBorder="1" applyAlignment="1">
      <alignment horizontal="right" vertical="center"/>
    </xf>
    <xf numFmtId="3" fontId="57" fillId="0" borderId="0" xfId="51" applyNumberFormat="1" applyFont="1"/>
    <xf numFmtId="3" fontId="30" fillId="0" borderId="20" xfId="51" applyNumberFormat="1" applyFont="1" applyBorder="1"/>
    <xf numFmtId="14" fontId="30" fillId="0" borderId="10" xfId="66" applyNumberFormat="1" applyFont="1" applyBorder="1" applyAlignment="1">
      <alignment horizontal="left"/>
    </xf>
    <xf numFmtId="0" fontId="30" fillId="0" borderId="0" xfId="51" applyFont="1" applyAlignment="1">
      <alignment horizontal="center"/>
    </xf>
    <xf numFmtId="3" fontId="30" fillId="0" borderId="20" xfId="66" applyNumberFormat="1" applyFont="1" applyBorder="1" applyAlignment="1">
      <alignment horizontal="right"/>
    </xf>
    <xf numFmtId="3" fontId="30" fillId="0" borderId="10" xfId="51" applyNumberFormat="1" applyFont="1" applyBorder="1"/>
    <xf numFmtId="49" fontId="30" fillId="0" borderId="10" xfId="51" applyNumberFormat="1" applyFont="1" applyBorder="1"/>
    <xf numFmtId="14" fontId="30" fillId="0" borderId="10" xfId="51" applyNumberFormat="1" applyFont="1" applyBorder="1" applyAlignment="1">
      <alignment horizontal="center"/>
    </xf>
    <xf numFmtId="49" fontId="30" fillId="0" borderId="0" xfId="51" applyNumberFormat="1" applyFont="1"/>
    <xf numFmtId="0" fontId="30" fillId="0" borderId="10" xfId="51" applyFont="1" applyBorder="1" applyAlignment="1">
      <alignment horizontal="left" wrapText="1"/>
    </xf>
    <xf numFmtId="49" fontId="55" fillId="0" borderId="0" xfId="51" applyNumberFormat="1" applyFont="1"/>
    <xf numFmtId="0" fontId="58" fillId="0" borderId="0" xfId="51" applyFont="1"/>
    <xf numFmtId="49" fontId="30" fillId="0" borderId="10" xfId="51" applyNumberFormat="1" applyFont="1" applyBorder="1" applyAlignment="1">
      <alignment wrapText="1"/>
    </xf>
    <xf numFmtId="0" fontId="30" fillId="0" borderId="19" xfId="51" applyFont="1" applyBorder="1" applyAlignment="1">
      <alignment vertical="center" wrapText="1"/>
    </xf>
    <xf numFmtId="49" fontId="30" fillId="0" borderId="19" xfId="51" applyNumberFormat="1" applyFont="1" applyBorder="1"/>
    <xf numFmtId="0" fontId="30" fillId="0" borderId="19" xfId="51" applyFont="1" applyBorder="1" applyAlignment="1">
      <alignment horizontal="left"/>
    </xf>
    <xf numFmtId="0" fontId="30" fillId="0" borderId="10" xfId="51" applyFont="1" applyBorder="1" applyAlignment="1">
      <alignment horizontal="left"/>
    </xf>
    <xf numFmtId="3" fontId="30" fillId="0" borderId="10" xfId="51" applyNumberFormat="1" applyFont="1" applyBorder="1" applyAlignment="1">
      <alignment horizontal="right"/>
    </xf>
    <xf numFmtId="3" fontId="55" fillId="0" borderId="0" xfId="66" applyNumberFormat="1" applyFont="1" applyAlignment="1">
      <alignment horizontal="right"/>
    </xf>
    <xf numFmtId="0" fontId="30" fillId="0" borderId="10" xfId="66" applyFont="1" applyBorder="1" applyAlignment="1">
      <alignment horizontal="left" wrapText="1"/>
    </xf>
    <xf numFmtId="0" fontId="30" fillId="0" borderId="19" xfId="51" applyFont="1" applyBorder="1" applyAlignment="1">
      <alignment wrapText="1"/>
    </xf>
    <xf numFmtId="0" fontId="56" fillId="0" borderId="19" xfId="51" applyFont="1" applyBorder="1" applyAlignment="1">
      <alignment horizontal="left"/>
    </xf>
    <xf numFmtId="0" fontId="56" fillId="0" borderId="10" xfId="51" applyFont="1" applyBorder="1" applyAlignment="1">
      <alignment horizontal="left"/>
    </xf>
    <xf numFmtId="14" fontId="56" fillId="0" borderId="10" xfId="51" applyNumberFormat="1" applyFont="1" applyBorder="1" applyAlignment="1">
      <alignment horizontal="center"/>
    </xf>
    <xf numFmtId="3" fontId="56" fillId="0" borderId="10" xfId="51" applyNumberFormat="1" applyFont="1" applyBorder="1" applyAlignment="1">
      <alignment horizontal="right"/>
    </xf>
    <xf numFmtId="3" fontId="56" fillId="0" borderId="20" xfId="51" applyNumberFormat="1" applyFont="1" applyBorder="1"/>
    <xf numFmtId="0" fontId="56" fillId="0" borderId="19" xfId="51" applyFont="1" applyBorder="1"/>
    <xf numFmtId="14" fontId="55" fillId="0" borderId="10" xfId="51" applyNumberFormat="1" applyFont="1" applyBorder="1" applyAlignment="1">
      <alignment horizontal="center"/>
    </xf>
    <xf numFmtId="0" fontId="30" fillId="0" borderId="19" xfId="68" applyFont="1" applyFill="1" applyBorder="1"/>
    <xf numFmtId="14" fontId="30" fillId="0" borderId="10" xfId="51" applyNumberFormat="1" applyFont="1" applyBorder="1" applyAlignment="1">
      <alignment horizontal="left" wrapText="1"/>
    </xf>
    <xf numFmtId="0" fontId="30" fillId="0" borderId="10" xfId="51" applyFont="1" applyBorder="1" applyAlignment="1">
      <alignment horizontal="center"/>
    </xf>
    <xf numFmtId="0" fontId="56" fillId="0" borderId="0" xfId="51" applyFont="1"/>
    <xf numFmtId="3" fontId="56" fillId="0" borderId="0" xfId="51" applyNumberFormat="1" applyFont="1"/>
    <xf numFmtId="14" fontId="56" fillId="0" borderId="10" xfId="66" applyNumberFormat="1" applyFont="1" applyBorder="1" applyAlignment="1">
      <alignment horizontal="center" wrapText="1"/>
    </xf>
    <xf numFmtId="0" fontId="33" fillId="0" borderId="40" xfId="66" applyFont="1" applyBorder="1" applyAlignment="1">
      <alignment horizontal="right"/>
    </xf>
    <xf numFmtId="3" fontId="33" fillId="0" borderId="40" xfId="66" applyNumberFormat="1" applyFont="1" applyBorder="1" applyAlignment="1">
      <alignment horizontal="right"/>
    </xf>
    <xf numFmtId="3" fontId="33" fillId="0" borderId="24" xfId="66" applyNumberFormat="1" applyFont="1" applyBorder="1" applyAlignment="1">
      <alignment horizontal="right"/>
    </xf>
    <xf numFmtId="0" fontId="46" fillId="0" borderId="0" xfId="51" applyFont="1"/>
    <xf numFmtId="3" fontId="46" fillId="0" borderId="0" xfId="51" applyNumberFormat="1" applyFont="1"/>
    <xf numFmtId="3" fontId="7" fillId="0" borderId="0" xfId="51" applyNumberFormat="1"/>
    <xf numFmtId="0" fontId="33" fillId="0" borderId="0" xfId="66" applyFont="1" applyAlignment="1">
      <alignment wrapText="1"/>
    </xf>
    <xf numFmtId="49" fontId="33" fillId="0" borderId="0" xfId="66" applyNumberFormat="1" applyFont="1" applyAlignment="1">
      <alignment wrapText="1"/>
    </xf>
    <xf numFmtId="0" fontId="33" fillId="0" borderId="0" xfId="66" applyFont="1" applyAlignment="1">
      <alignment horizontal="center"/>
    </xf>
    <xf numFmtId="3" fontId="33" fillId="0" borderId="0" xfId="66" applyNumberFormat="1" applyFont="1" applyAlignment="1">
      <alignment horizontal="right"/>
    </xf>
    <xf numFmtId="0" fontId="56" fillId="0" borderId="10" xfId="66" applyFont="1" applyBorder="1" applyAlignment="1">
      <alignment wrapText="1"/>
    </xf>
    <xf numFmtId="49" fontId="56" fillId="0" borderId="10" xfId="66" applyNumberFormat="1" applyFont="1" applyBorder="1" applyAlignment="1">
      <alignment wrapText="1"/>
    </xf>
    <xf numFmtId="0" fontId="56" fillId="0" borderId="10" xfId="66" applyFont="1" applyBorder="1" applyAlignment="1">
      <alignment horizontal="center"/>
    </xf>
    <xf numFmtId="165" fontId="56" fillId="0" borderId="10" xfId="66" applyNumberFormat="1" applyFont="1" applyBorder="1" applyAlignment="1">
      <alignment horizontal="right" wrapText="1"/>
    </xf>
    <xf numFmtId="3" fontId="56" fillId="0" borderId="10" xfId="66" applyNumberFormat="1" applyFont="1" applyBorder="1"/>
    <xf numFmtId="0" fontId="60" fillId="0" borderId="0" xfId="0" applyFont="1"/>
    <xf numFmtId="0" fontId="58" fillId="0" borderId="10" xfId="0" applyFont="1" applyBorder="1"/>
    <xf numFmtId="14" fontId="56" fillId="25" borderId="10" xfId="66" applyNumberFormat="1" applyFont="1" applyFill="1" applyBorder="1" applyAlignment="1">
      <alignment horizontal="center"/>
    </xf>
    <xf numFmtId="49" fontId="56" fillId="25" borderId="10" xfId="66" applyNumberFormat="1" applyFont="1" applyFill="1" applyBorder="1" applyAlignment="1">
      <alignment wrapText="1"/>
    </xf>
    <xf numFmtId="0" fontId="56" fillId="0" borderId="10" xfId="0" applyFont="1" applyBorder="1" applyAlignment="1">
      <alignment wrapText="1"/>
    </xf>
    <xf numFmtId="49" fontId="56" fillId="25" borderId="10" xfId="0" applyNumberFormat="1" applyFont="1" applyFill="1" applyBorder="1" applyAlignment="1">
      <alignment wrapText="1"/>
    </xf>
    <xf numFmtId="14" fontId="56" fillId="0" borderId="10" xfId="0" applyNumberFormat="1" applyFont="1" applyBorder="1" applyAlignment="1">
      <alignment horizontal="center" wrapText="1"/>
    </xf>
    <xf numFmtId="14" fontId="60" fillId="0" borderId="0" xfId="0" applyNumberFormat="1" applyFont="1"/>
    <xf numFmtId="0" fontId="56" fillId="25" borderId="10" xfId="66" applyFont="1" applyFill="1" applyBorder="1" applyAlignment="1">
      <alignment horizontal="center"/>
    </xf>
    <xf numFmtId="0" fontId="56" fillId="0" borderId="10" xfId="66" applyFont="1" applyBorder="1" applyAlignment="1">
      <alignment horizontal="left" wrapText="1"/>
    </xf>
    <xf numFmtId="165" fontId="56" fillId="25" borderId="10" xfId="66" applyNumberFormat="1" applyFont="1" applyFill="1" applyBorder="1" applyAlignment="1">
      <alignment horizontal="right" wrapText="1"/>
    </xf>
    <xf numFmtId="49" fontId="56" fillId="0" borderId="10" xfId="0" applyNumberFormat="1" applyFont="1" applyBorder="1" applyAlignment="1">
      <alignment wrapText="1"/>
    </xf>
    <xf numFmtId="14" fontId="56" fillId="0" borderId="10" xfId="0" applyNumberFormat="1" applyFont="1" applyBorder="1" applyAlignment="1">
      <alignment horizontal="center"/>
    </xf>
    <xf numFmtId="3" fontId="58" fillId="0" borderId="10" xfId="0" applyNumberFormat="1" applyFont="1" applyBorder="1" applyAlignment="1">
      <alignment horizontal="right"/>
    </xf>
    <xf numFmtId="0" fontId="30" fillId="0" borderId="10" xfId="0" applyFont="1" applyBorder="1" applyAlignment="1">
      <alignment wrapText="1"/>
    </xf>
    <xf numFmtId="49" fontId="30" fillId="0" borderId="10" xfId="0" applyNumberFormat="1" applyFont="1" applyBorder="1" applyAlignment="1">
      <alignment wrapText="1"/>
    </xf>
    <xf numFmtId="165" fontId="30" fillId="0" borderId="10" xfId="66" applyNumberFormat="1" applyFont="1" applyBorder="1" applyAlignment="1">
      <alignment horizontal="right" wrapText="1"/>
    </xf>
    <xf numFmtId="0" fontId="56" fillId="25" borderId="10" xfId="66" applyFont="1" applyFill="1" applyBorder="1" applyAlignment="1">
      <alignment wrapText="1"/>
    </xf>
    <xf numFmtId="49" fontId="56" fillId="25" borderId="10" xfId="66" applyNumberFormat="1" applyFont="1" applyFill="1" applyBorder="1" applyAlignment="1">
      <alignment horizontal="left" wrapText="1"/>
    </xf>
    <xf numFmtId="3" fontId="56" fillId="25" borderId="10" xfId="0" applyNumberFormat="1" applyFont="1" applyFill="1" applyBorder="1" applyAlignment="1">
      <alignment horizontal="right"/>
    </xf>
    <xf numFmtId="3" fontId="56" fillId="25" borderId="10" xfId="66" applyNumberFormat="1" applyFont="1" applyFill="1" applyBorder="1"/>
    <xf numFmtId="165" fontId="56" fillId="0" borderId="10" xfId="66" applyNumberFormat="1" applyFont="1" applyBorder="1" applyAlignment="1">
      <alignment horizontal="center" wrapText="1"/>
    </xf>
    <xf numFmtId="3" fontId="60" fillId="0" borderId="0" xfId="0" applyNumberFormat="1" applyFont="1"/>
    <xf numFmtId="0" fontId="61" fillId="0" borderId="0" xfId="0" applyFont="1"/>
    <xf numFmtId="49" fontId="56" fillId="0" borderId="10" xfId="66" applyNumberFormat="1" applyFont="1" applyBorder="1" applyAlignment="1">
      <alignment horizontal="left" wrapText="1"/>
    </xf>
    <xf numFmtId="166" fontId="56" fillId="25" borderId="10" xfId="66" applyNumberFormat="1" applyFont="1" applyFill="1" applyBorder="1" applyAlignment="1">
      <alignment horizontal="right" wrapText="1"/>
    </xf>
    <xf numFmtId="166" fontId="56" fillId="0" borderId="10" xfId="66" applyNumberFormat="1" applyFont="1" applyBorder="1" applyAlignment="1">
      <alignment horizontal="right" wrapText="1"/>
    </xf>
    <xf numFmtId="0" fontId="56" fillId="0" borderId="10" xfId="66" applyFont="1" applyBorder="1" applyAlignment="1">
      <alignment horizontal="center" wrapText="1"/>
    </xf>
    <xf numFmtId="14" fontId="56" fillId="25" borderId="10" xfId="66" applyNumberFormat="1" applyFont="1" applyFill="1" applyBorder="1" applyAlignment="1">
      <alignment horizontal="center" wrapText="1"/>
    </xf>
    <xf numFmtId="49" fontId="56" fillId="0" borderId="47" xfId="66" applyNumberFormat="1" applyFont="1" applyBorder="1" applyAlignment="1">
      <alignment wrapText="1"/>
    </xf>
    <xf numFmtId="14" fontId="56" fillId="25" borderId="47" xfId="66" applyNumberFormat="1" applyFont="1" applyFill="1" applyBorder="1" applyAlignment="1">
      <alignment horizontal="center" wrapText="1"/>
    </xf>
    <xf numFmtId="165" fontId="56" fillId="25" borderId="47" xfId="66" applyNumberFormat="1" applyFont="1" applyFill="1" applyBorder="1" applyAlignment="1">
      <alignment horizontal="right" wrapText="1"/>
    </xf>
    <xf numFmtId="3" fontId="56" fillId="0" borderId="47" xfId="66" applyNumberFormat="1" applyFont="1" applyBorder="1"/>
    <xf numFmtId="0" fontId="33" fillId="0" borderId="40" xfId="66" applyFont="1" applyBorder="1" applyAlignment="1">
      <alignment horizontal="center" vertical="center"/>
    </xf>
    <xf numFmtId="165" fontId="33" fillId="0" borderId="40" xfId="66" applyNumberFormat="1" applyFont="1" applyBorder="1" applyAlignment="1">
      <alignment horizontal="right" wrapText="1"/>
    </xf>
    <xf numFmtId="14" fontId="30" fillId="0" borderId="0" xfId="66" applyNumberFormat="1" applyFont="1" applyAlignment="1">
      <alignment horizontal="center"/>
    </xf>
    <xf numFmtId="3" fontId="32" fillId="0" borderId="0" xfId="66" applyNumberFormat="1" applyFont="1"/>
    <xf numFmtId="3" fontId="32" fillId="0" borderId="0" xfId="66" applyNumberFormat="1" applyFont="1" applyAlignment="1">
      <alignment horizontal="right"/>
    </xf>
    <xf numFmtId="3" fontId="62" fillId="0" borderId="0" xfId="69" applyNumberFormat="1" applyFont="1"/>
    <xf numFmtId="0" fontId="8" fillId="0" borderId="0" xfId="69"/>
    <xf numFmtId="3" fontId="63" fillId="0" borderId="0" xfId="69" applyNumberFormat="1" applyFont="1" applyAlignment="1">
      <alignment horizontal="right"/>
    </xf>
    <xf numFmtId="3" fontId="36" fillId="0" borderId="0" xfId="69" applyNumberFormat="1" applyFont="1"/>
    <xf numFmtId="0" fontId="62" fillId="0" borderId="0" xfId="69" applyFont="1"/>
    <xf numFmtId="0" fontId="63" fillId="0" borderId="10" xfId="69" applyFont="1" applyBorder="1" applyAlignment="1">
      <alignment horizontal="left"/>
    </xf>
    <xf numFmtId="0" fontId="62" fillId="0" borderId="10" xfId="69" applyFont="1" applyBorder="1"/>
    <xf numFmtId="0" fontId="62" fillId="0" borderId="10" xfId="69" applyFont="1" applyBorder="1" applyAlignment="1">
      <alignment wrapText="1"/>
    </xf>
    <xf numFmtId="0" fontId="8" fillId="24" borderId="0" xfId="69" applyFill="1"/>
    <xf numFmtId="0" fontId="64" fillId="0" borderId="10" xfId="69" applyFont="1" applyBorder="1"/>
    <xf numFmtId="0" fontId="65" fillId="0" borderId="10" xfId="69" applyFont="1" applyBorder="1"/>
    <xf numFmtId="0" fontId="63" fillId="0" borderId="10" xfId="69" applyFont="1" applyBorder="1"/>
    <xf numFmtId="0" fontId="7" fillId="0" borderId="0" xfId="51" applyAlignment="1">
      <alignment horizontal="right"/>
    </xf>
    <xf numFmtId="0" fontId="66" fillId="0" borderId="0" xfId="51" applyFont="1" applyAlignment="1">
      <alignment horizontal="centerContinuous"/>
    </xf>
    <xf numFmtId="0" fontId="66" fillId="0" borderId="0" xfId="51" applyFont="1" applyAlignment="1">
      <alignment horizontal="center"/>
    </xf>
    <xf numFmtId="0" fontId="66" fillId="0" borderId="36" xfId="51" applyFont="1" applyBorder="1"/>
    <xf numFmtId="0" fontId="66" fillId="0" borderId="10" xfId="51" applyFont="1" applyBorder="1" applyAlignment="1">
      <alignment horizontal="center"/>
    </xf>
    <xf numFmtId="0" fontId="66" fillId="0" borderId="10" xfId="51" applyFont="1" applyBorder="1" applyAlignment="1">
      <alignment horizontal="center" wrapText="1"/>
    </xf>
    <xf numFmtId="0" fontId="67" fillId="0" borderId="36" xfId="51" applyFont="1" applyBorder="1"/>
    <xf numFmtId="0" fontId="67" fillId="0" borderId="10" xfId="51" applyFont="1" applyBorder="1" applyAlignment="1">
      <alignment horizontal="left"/>
    </xf>
    <xf numFmtId="3" fontId="67" fillId="0" borderId="10" xfId="51" applyNumberFormat="1" applyFont="1" applyBorder="1"/>
    <xf numFmtId="0" fontId="67" fillId="0" borderId="36" xfId="51" applyFont="1" applyBorder="1" applyAlignment="1">
      <alignment wrapText="1"/>
    </xf>
    <xf numFmtId="0" fontId="67" fillId="0" borderId="10" xfId="51" applyFont="1" applyBorder="1" applyAlignment="1">
      <alignment horizontal="left" wrapText="1"/>
    </xf>
    <xf numFmtId="3" fontId="67" fillId="0" borderId="10" xfId="51" applyNumberFormat="1" applyFont="1" applyBorder="1" applyAlignment="1">
      <alignment wrapText="1"/>
    </xf>
    <xf numFmtId="0" fontId="60" fillId="0" borderId="0" xfId="51" applyFont="1"/>
    <xf numFmtId="0" fontId="7" fillId="0" borderId="0" xfId="51" applyAlignment="1">
      <alignment horizontal="left" wrapText="1"/>
    </xf>
    <xf numFmtId="0" fontId="68" fillId="0" borderId="0" xfId="51" applyFont="1" applyAlignment="1">
      <alignment horizontal="left" wrapText="1"/>
    </xf>
    <xf numFmtId="0" fontId="68" fillId="0" borderId="0" xfId="51" applyFont="1" applyAlignment="1">
      <alignment wrapText="1"/>
    </xf>
    <xf numFmtId="0" fontId="60" fillId="0" borderId="10" xfId="51" applyFont="1" applyBorder="1"/>
    <xf numFmtId="0" fontId="7" fillId="0" borderId="10" xfId="51" applyBorder="1" applyAlignment="1">
      <alignment wrapText="1"/>
    </xf>
    <xf numFmtId="0" fontId="7" fillId="0" borderId="10" xfId="51" quotePrefix="1" applyBorder="1" applyAlignment="1">
      <alignment wrapText="1"/>
    </xf>
    <xf numFmtId="0" fontId="7" fillId="0" borderId="0" xfId="51" applyAlignment="1">
      <alignment wrapText="1"/>
    </xf>
    <xf numFmtId="0" fontId="7" fillId="0" borderId="47" xfId="51" applyBorder="1" applyAlignment="1">
      <alignment wrapText="1"/>
    </xf>
    <xf numFmtId="0" fontId="7" fillId="0" borderId="47" xfId="51" applyBorder="1"/>
    <xf numFmtId="0" fontId="51" fillId="0" borderId="0" xfId="70"/>
    <xf numFmtId="3" fontId="51" fillId="0" borderId="0" xfId="70" applyNumberFormat="1"/>
    <xf numFmtId="0" fontId="51" fillId="0" borderId="0" xfId="70" applyAlignment="1">
      <alignment horizontal="right"/>
    </xf>
    <xf numFmtId="0" fontId="49" fillId="0" borderId="0" xfId="70" applyFont="1" applyAlignment="1">
      <alignment horizontal="center"/>
    </xf>
    <xf numFmtId="0" fontId="49" fillId="0" borderId="0" xfId="70" applyFont="1" applyAlignment="1">
      <alignment horizontal="right"/>
    </xf>
    <xf numFmtId="0" fontId="51" fillId="0" borderId="10" xfId="70" applyBorder="1"/>
    <xf numFmtId="3" fontId="51" fillId="0" borderId="10" xfId="70" applyNumberFormat="1" applyBorder="1" applyAlignment="1">
      <alignment horizontal="center"/>
    </xf>
    <xf numFmtId="0" fontId="51" fillId="0" borderId="10" xfId="70" applyBorder="1" applyAlignment="1">
      <alignment horizontal="right"/>
    </xf>
    <xf numFmtId="0" fontId="49" fillId="0" borderId="10" xfId="70" applyFont="1" applyBorder="1"/>
    <xf numFmtId="3" fontId="51" fillId="0" borderId="10" xfId="70" applyNumberFormat="1" applyBorder="1"/>
    <xf numFmtId="3" fontId="48" fillId="0" borderId="10" xfId="70" applyNumberFormat="1" applyFont="1" applyBorder="1"/>
    <xf numFmtId="3" fontId="49" fillId="0" borderId="10" xfId="70" applyNumberFormat="1" applyFont="1" applyBorder="1"/>
    <xf numFmtId="0" fontId="49" fillId="0" borderId="0" xfId="70" applyFont="1"/>
    <xf numFmtId="3" fontId="49" fillId="0" borderId="0" xfId="70" applyNumberFormat="1" applyFont="1"/>
    <xf numFmtId="1" fontId="51" fillId="0" borderId="10" xfId="60" applyNumberFormat="1" applyFont="1" applyFill="1" applyBorder="1"/>
    <xf numFmtId="167" fontId="51" fillId="0" borderId="10" xfId="60" applyNumberFormat="1" applyFont="1" applyFill="1" applyBorder="1"/>
    <xf numFmtId="0" fontId="70" fillId="0" borderId="0" xfId="70" applyFont="1"/>
    <xf numFmtId="0" fontId="69" fillId="0" borderId="0" xfId="70" applyFont="1"/>
    <xf numFmtId="0" fontId="51" fillId="0" borderId="50" xfId="70" applyBorder="1"/>
    <xf numFmtId="0" fontId="51" fillId="0" borderId="51" xfId="70" applyBorder="1"/>
    <xf numFmtId="0" fontId="51" fillId="0" borderId="52" xfId="70" applyBorder="1"/>
    <xf numFmtId="0" fontId="51" fillId="0" borderId="53" xfId="70" applyBorder="1" applyAlignment="1">
      <alignment wrapText="1"/>
    </xf>
    <xf numFmtId="0" fontId="51" fillId="0" borderId="53" xfId="70" applyBorder="1" applyAlignment="1">
      <alignment horizontal="center" wrapText="1"/>
    </xf>
    <xf numFmtId="0" fontId="49" fillId="0" borderId="54" xfId="70" applyFont="1" applyBorder="1"/>
    <xf numFmtId="0" fontId="51" fillId="0" borderId="55" xfId="70" applyBorder="1" applyAlignment="1">
      <alignment wrapText="1"/>
    </xf>
    <xf numFmtId="0" fontId="51" fillId="0" borderId="52" xfId="70" applyBorder="1" applyAlignment="1">
      <alignment wrapText="1"/>
    </xf>
    <xf numFmtId="0" fontId="51" fillId="0" borderId="53" xfId="70" applyBorder="1"/>
    <xf numFmtId="0" fontId="51" fillId="0" borderId="56" xfId="70" applyBorder="1"/>
    <xf numFmtId="3" fontId="43" fillId="0" borderId="57" xfId="53" applyNumberFormat="1" applyFont="1" applyBorder="1"/>
    <xf numFmtId="0" fontId="71" fillId="0" borderId="34" xfId="70" applyFont="1" applyBorder="1"/>
    <xf numFmtId="0" fontId="71" fillId="0" borderId="13" xfId="70" applyFont="1" applyBorder="1"/>
    <xf numFmtId="3" fontId="51" fillId="0" borderId="36" xfId="70" applyNumberFormat="1" applyBorder="1"/>
    <xf numFmtId="3" fontId="51" fillId="0" borderId="19" xfId="70" applyNumberFormat="1" applyBorder="1"/>
    <xf numFmtId="3" fontId="51" fillId="0" borderId="13" xfId="70" applyNumberFormat="1" applyBorder="1"/>
    <xf numFmtId="3" fontId="51" fillId="0" borderId="58" xfId="70" applyNumberFormat="1" applyBorder="1"/>
    <xf numFmtId="0" fontId="72" fillId="0" borderId="59" xfId="70" applyFont="1" applyBorder="1"/>
    <xf numFmtId="0" fontId="72" fillId="0" borderId="34" xfId="70" applyFont="1" applyBorder="1"/>
    <xf numFmtId="0" fontId="72" fillId="0" borderId="13" xfId="70" applyFont="1" applyBorder="1"/>
    <xf numFmtId="0" fontId="72" fillId="0" borderId="60" xfId="70" applyFont="1" applyBorder="1"/>
    <xf numFmtId="0" fontId="72" fillId="0" borderId="61" xfId="70" applyFont="1" applyBorder="1"/>
    <xf numFmtId="0" fontId="72" fillId="0" borderId="62" xfId="70" applyFont="1" applyBorder="1"/>
    <xf numFmtId="3" fontId="51" fillId="0" borderId="63" xfId="70" applyNumberFormat="1" applyBorder="1"/>
    <xf numFmtId="3" fontId="51" fillId="0" borderId="64" xfId="70" applyNumberFormat="1" applyBorder="1"/>
    <xf numFmtId="3" fontId="51" fillId="0" borderId="65" xfId="70" applyNumberFormat="1" applyBorder="1"/>
    <xf numFmtId="3" fontId="51" fillId="0" borderId="62" xfId="70" applyNumberFormat="1" applyBorder="1"/>
    <xf numFmtId="3" fontId="51" fillId="0" borderId="66" xfId="70" applyNumberFormat="1" applyBorder="1"/>
    <xf numFmtId="3" fontId="51" fillId="0" borderId="70" xfId="70" applyNumberFormat="1" applyBorder="1"/>
    <xf numFmtId="3" fontId="51" fillId="0" borderId="71" xfId="70" applyNumberFormat="1" applyBorder="1"/>
    <xf numFmtId="3" fontId="51" fillId="0" borderId="69" xfId="70" applyNumberFormat="1" applyBorder="1"/>
    <xf numFmtId="0" fontId="67" fillId="0" borderId="0" xfId="51" applyFont="1" applyAlignment="1">
      <alignment horizontal="right"/>
    </xf>
    <xf numFmtId="0" fontId="2" fillId="0" borderId="0" xfId="71"/>
    <xf numFmtId="3" fontId="67" fillId="0" borderId="0" xfId="51" applyNumberFormat="1" applyFont="1" applyAlignment="1">
      <alignment horizontal="right"/>
    </xf>
    <xf numFmtId="0" fontId="67" fillId="0" borderId="0" xfId="51" applyFont="1" applyAlignment="1">
      <alignment horizontal="center"/>
    </xf>
    <xf numFmtId="3" fontId="67" fillId="0" borderId="0" xfId="51" applyNumberFormat="1" applyFont="1" applyAlignment="1">
      <alignment horizontal="center"/>
    </xf>
    <xf numFmtId="0" fontId="67" fillId="0" borderId="0" xfId="51" applyFont="1"/>
    <xf numFmtId="3" fontId="67" fillId="0" borderId="0" xfId="51" applyNumberFormat="1" applyFont="1"/>
    <xf numFmtId="0" fontId="66" fillId="0" borderId="0" xfId="51" applyFont="1"/>
    <xf numFmtId="3" fontId="66" fillId="0" borderId="0" xfId="51" applyNumberFormat="1" applyFont="1"/>
    <xf numFmtId="0" fontId="67" fillId="0" borderId="0" xfId="51" quotePrefix="1" applyFont="1"/>
    <xf numFmtId="0" fontId="37" fillId="0" borderId="0" xfId="53" applyFont="1" applyBorder="1"/>
    <xf numFmtId="0" fontId="30" fillId="0" borderId="0" xfId="72" applyFont="1" applyAlignment="1">
      <alignment horizontal="center" vertical="center"/>
    </xf>
    <xf numFmtId="0" fontId="73" fillId="0" borderId="0" xfId="51" applyFont="1"/>
    <xf numFmtId="0" fontId="32" fillId="0" borderId="0" xfId="72" applyFont="1" applyAlignment="1">
      <alignment horizontal="center"/>
    </xf>
    <xf numFmtId="0" fontId="32" fillId="0" borderId="0" xfId="72" applyFont="1"/>
    <xf numFmtId="3" fontId="30" fillId="0" borderId="0" xfId="72" applyNumberFormat="1" applyFont="1"/>
    <xf numFmtId="0" fontId="33" fillId="0" borderId="0" xfId="72" applyFont="1" applyAlignment="1">
      <alignment horizontal="center"/>
    </xf>
    <xf numFmtId="0" fontId="33" fillId="0" borderId="0" xfId="72" applyFont="1" applyAlignment="1">
      <alignment horizontal="center" vertical="center"/>
    </xf>
    <xf numFmtId="0" fontId="32" fillId="0" borderId="0" xfId="72" applyFont="1" applyAlignment="1">
      <alignment horizontal="right" vertical="center"/>
    </xf>
    <xf numFmtId="0" fontId="32" fillId="0" borderId="0" xfId="72" applyFont="1" applyAlignment="1">
      <alignment horizontal="center" vertical="center" wrapText="1"/>
    </xf>
    <xf numFmtId="0" fontId="32" fillId="0" borderId="0" xfId="72" applyFont="1" applyAlignment="1">
      <alignment horizontal="center" vertical="center"/>
    </xf>
    <xf numFmtId="3" fontId="32" fillId="0" borderId="0" xfId="72" applyNumberFormat="1" applyFont="1" applyAlignment="1">
      <alignment horizontal="center" vertical="center"/>
    </xf>
    <xf numFmtId="0" fontId="30" fillId="0" borderId="0" xfId="72" applyFont="1" applyAlignment="1">
      <alignment horizontal="center" vertical="center" wrapText="1"/>
    </xf>
    <xf numFmtId="0" fontId="30" fillId="0" borderId="0" xfId="72" applyFont="1" applyAlignment="1">
      <alignment horizontal="left" vertical="center"/>
    </xf>
    <xf numFmtId="0" fontId="31" fillId="0" borderId="0" xfId="72" applyFont="1" applyAlignment="1">
      <alignment horizontal="center" vertical="center" wrapText="1"/>
    </xf>
    <xf numFmtId="0" fontId="31" fillId="0" borderId="0" xfId="72" applyFont="1" applyAlignment="1">
      <alignment horizontal="left"/>
    </xf>
    <xf numFmtId="0" fontId="30" fillId="0" borderId="0" xfId="72" applyFont="1" applyAlignment="1">
      <alignment horizontal="right"/>
    </xf>
    <xf numFmtId="49" fontId="30" fillId="0" borderId="0" xfId="72" applyNumberFormat="1" applyFont="1" applyAlignment="1">
      <alignment horizontal="right" vertical="center"/>
    </xf>
    <xf numFmtId="0" fontId="30" fillId="0" borderId="72" xfId="72" applyFont="1" applyBorder="1" applyAlignment="1">
      <alignment horizontal="center" vertical="center"/>
    </xf>
    <xf numFmtId="0" fontId="32" fillId="0" borderId="72" xfId="72" applyFont="1" applyBorder="1" applyAlignment="1">
      <alignment horizontal="right"/>
    </xf>
    <xf numFmtId="0" fontId="32" fillId="0" borderId="72" xfId="72" applyFont="1" applyBorder="1" applyAlignment="1">
      <alignment horizontal="center" vertical="center"/>
    </xf>
    <xf numFmtId="3" fontId="32" fillId="0" borderId="72" xfId="72" applyNumberFormat="1" applyFont="1" applyBorder="1"/>
    <xf numFmtId="0" fontId="30" fillId="0" borderId="11" xfId="72" applyFont="1" applyBorder="1" applyAlignment="1">
      <alignment horizontal="center" vertical="center"/>
    </xf>
    <xf numFmtId="0" fontId="32" fillId="0" borderId="11" xfId="72" applyFont="1" applyBorder="1" applyAlignment="1">
      <alignment horizontal="right"/>
    </xf>
    <xf numFmtId="0" fontId="32" fillId="0" borderId="11" xfId="72" applyFont="1" applyBorder="1" applyAlignment="1">
      <alignment horizontal="center" vertical="center"/>
    </xf>
    <xf numFmtId="3" fontId="32" fillId="0" borderId="11" xfId="72" applyNumberFormat="1" applyFont="1" applyBorder="1"/>
    <xf numFmtId="0" fontId="32" fillId="0" borderId="0" xfId="72" applyFont="1" applyAlignment="1">
      <alignment horizontal="right"/>
    </xf>
    <xf numFmtId="3" fontId="32" fillId="0" borderId="0" xfId="72" applyNumberFormat="1" applyFont="1"/>
    <xf numFmtId="0" fontId="31" fillId="0" borderId="0" xfId="72" applyFont="1" applyAlignment="1">
      <alignment horizontal="center" vertical="center"/>
    </xf>
    <xf numFmtId="0" fontId="30" fillId="0" borderId="0" xfId="51" applyFont="1" applyAlignment="1">
      <alignment horizontal="right"/>
    </xf>
    <xf numFmtId="0" fontId="7" fillId="0" borderId="11" xfId="51" applyBorder="1"/>
    <xf numFmtId="0" fontId="32" fillId="0" borderId="11" xfId="51" applyFont="1" applyBorder="1" applyAlignment="1">
      <alignment horizontal="right"/>
    </xf>
    <xf numFmtId="0" fontId="32" fillId="0" borderId="0" xfId="51" applyFont="1" applyAlignment="1">
      <alignment horizontal="right"/>
    </xf>
    <xf numFmtId="0" fontId="57" fillId="0" borderId="0" xfId="72" applyFont="1" applyAlignment="1">
      <alignment horizontal="center" vertical="center"/>
    </xf>
    <xf numFmtId="3" fontId="57" fillId="0" borderId="0" xfId="72" applyNumberFormat="1" applyFont="1"/>
    <xf numFmtId="0" fontId="30" fillId="0" borderId="0" xfId="51" applyFont="1" applyAlignment="1">
      <alignment horizontal="left" vertical="center"/>
    </xf>
    <xf numFmtId="0" fontId="7" fillId="0" borderId="0" xfId="51" applyAlignment="1">
      <alignment horizontal="center"/>
    </xf>
    <xf numFmtId="0" fontId="30" fillId="0" borderId="0" xfId="51" applyFont="1" applyAlignment="1">
      <alignment horizontal="left"/>
    </xf>
    <xf numFmtId="0" fontId="31" fillId="0" borderId="0" xfId="51" applyFont="1" applyAlignment="1">
      <alignment horizontal="left"/>
    </xf>
    <xf numFmtId="0" fontId="31" fillId="0" borderId="0" xfId="51" applyFont="1" applyAlignment="1">
      <alignment horizontal="right"/>
    </xf>
    <xf numFmtId="3" fontId="30" fillId="0" borderId="0" xfId="72" applyNumberFormat="1" applyFont="1" applyAlignment="1">
      <alignment horizontal="right" vertical="center" wrapText="1"/>
    </xf>
    <xf numFmtId="0" fontId="30" fillId="0" borderId="0" xfId="72" applyFont="1" applyAlignment="1">
      <alignment horizontal="right" vertical="center"/>
    </xf>
    <xf numFmtId="3" fontId="32" fillId="0" borderId="11" xfId="72" applyNumberFormat="1" applyFont="1" applyBorder="1" applyAlignment="1">
      <alignment horizontal="right" vertical="center"/>
    </xf>
    <xf numFmtId="3" fontId="32" fillId="0" borderId="0" xfId="72" applyNumberFormat="1" applyFont="1" applyAlignment="1">
      <alignment horizontal="right" vertical="center"/>
    </xf>
    <xf numFmtId="0" fontId="67" fillId="0" borderId="0" xfId="72" applyFont="1" applyAlignment="1">
      <alignment horizontal="center" vertical="center"/>
    </xf>
    <xf numFmtId="0" fontId="66" fillId="0" borderId="0" xfId="72" applyFont="1" applyAlignment="1">
      <alignment horizontal="right"/>
    </xf>
    <xf numFmtId="3" fontId="66" fillId="0" borderId="0" xfId="72" applyNumberFormat="1" applyFont="1"/>
    <xf numFmtId="0" fontId="30" fillId="0" borderId="0" xfId="72" applyFont="1"/>
    <xf numFmtId="3" fontId="33" fillId="0" borderId="0" xfId="72" applyNumberFormat="1" applyFont="1" applyAlignment="1">
      <alignment horizontal="center"/>
    </xf>
    <xf numFmtId="3" fontId="33" fillId="0" borderId="0" xfId="72" applyNumberFormat="1" applyFont="1"/>
    <xf numFmtId="49" fontId="30" fillId="0" borderId="0" xfId="72" applyNumberFormat="1" applyFont="1" applyAlignment="1">
      <alignment horizontal="right" vertical="center" wrapText="1"/>
    </xf>
    <xf numFmtId="0" fontId="68" fillId="0" borderId="0" xfId="51" applyFont="1"/>
    <xf numFmtId="49" fontId="32" fillId="0" borderId="11" xfId="72" applyNumberFormat="1" applyFont="1" applyBorder="1" applyAlignment="1">
      <alignment horizontal="right" vertical="center"/>
    </xf>
    <xf numFmtId="49" fontId="32" fillId="0" borderId="0" xfId="72" applyNumberFormat="1" applyFont="1" applyAlignment="1">
      <alignment horizontal="right" vertical="center"/>
    </xf>
    <xf numFmtId="169" fontId="30" fillId="0" borderId="0" xfId="73" applyNumberFormat="1" applyFont="1" applyFill="1"/>
    <xf numFmtId="0" fontId="74" fillId="0" borderId="11" xfId="51" applyFont="1" applyBorder="1"/>
    <xf numFmtId="0" fontId="30" fillId="0" borderId="0" xfId="51" applyFont="1" applyAlignment="1">
      <alignment horizontal="right" wrapText="1"/>
    </xf>
    <xf numFmtId="3" fontId="75" fillId="0" borderId="31" xfId="53" applyNumberFormat="1" applyFont="1" applyBorder="1"/>
    <xf numFmtId="3" fontId="75" fillId="0" borderId="10" xfId="53" applyNumberFormat="1" applyFont="1" applyBorder="1"/>
    <xf numFmtId="3" fontId="75" fillId="0" borderId="34" xfId="53" applyNumberFormat="1" applyFont="1" applyBorder="1"/>
    <xf numFmtId="0" fontId="43" fillId="0" borderId="0" xfId="59" applyFont="1" applyAlignment="1">
      <alignment wrapText="1"/>
    </xf>
    <xf numFmtId="0" fontId="43" fillId="0" borderId="0" xfId="59" applyFont="1"/>
    <xf numFmtId="0" fontId="43" fillId="0" borderId="0" xfId="51" applyFont="1"/>
    <xf numFmtId="0" fontId="45" fillId="0" borderId="10" xfId="59" applyFont="1" applyBorder="1" applyAlignment="1">
      <alignment wrapText="1"/>
    </xf>
    <xf numFmtId="3" fontId="45" fillId="0" borderId="10" xfId="59" applyNumberFormat="1" applyFont="1" applyBorder="1" applyAlignment="1">
      <alignment horizontal="right"/>
    </xf>
    <xf numFmtId="0" fontId="43" fillId="0" borderId="10" xfId="59" applyFont="1" applyBorder="1"/>
    <xf numFmtId="0" fontId="43" fillId="0" borderId="10" xfId="51" applyFont="1" applyBorder="1"/>
    <xf numFmtId="0" fontId="45" fillId="0" borderId="10" xfId="59" applyFont="1" applyBorder="1" applyAlignment="1">
      <alignment vertical="center"/>
    </xf>
    <xf numFmtId="0" fontId="43" fillId="0" borderId="10" xfId="59" applyFont="1" applyBorder="1" applyAlignment="1">
      <alignment horizontal="center" vertical="center"/>
    </xf>
    <xf numFmtId="0" fontId="43" fillId="0" borderId="10" xfId="59" applyFont="1" applyBorder="1" applyAlignment="1">
      <alignment vertical="center"/>
    </xf>
    <xf numFmtId="3" fontId="43" fillId="0" borderId="10" xfId="59" applyNumberFormat="1" applyFont="1" applyBorder="1" applyAlignment="1">
      <alignment horizontal="center"/>
    </xf>
    <xf numFmtId="0" fontId="43" fillId="0" borderId="10" xfId="59" applyFont="1" applyBorder="1" applyAlignment="1">
      <alignment horizontal="center"/>
    </xf>
    <xf numFmtId="0" fontId="43" fillId="0" borderId="10" xfId="59" applyFont="1" applyBorder="1" applyAlignment="1">
      <alignment horizontal="center" wrapText="1"/>
    </xf>
    <xf numFmtId="0" fontId="43" fillId="0" borderId="10" xfId="59" applyFont="1" applyBorder="1" applyAlignment="1">
      <alignment wrapText="1"/>
    </xf>
    <xf numFmtId="3" fontId="43" fillId="0" borderId="10" xfId="59" applyNumberFormat="1" applyFont="1" applyBorder="1"/>
    <xf numFmtId="3" fontId="43" fillId="0" borderId="10" xfId="51" applyNumberFormat="1" applyFont="1" applyBorder="1"/>
    <xf numFmtId="0" fontId="43" fillId="0" borderId="10" xfId="59" applyFont="1" applyBorder="1" applyAlignment="1">
      <alignment vertical="center" wrapText="1"/>
    </xf>
    <xf numFmtId="0" fontId="43" fillId="0" borderId="10" xfId="51" applyFont="1" applyBorder="1" applyAlignment="1">
      <alignment wrapText="1"/>
    </xf>
    <xf numFmtId="0" fontId="42" fillId="0" borderId="10" xfId="51" applyFont="1" applyBorder="1" applyAlignment="1">
      <alignment wrapText="1"/>
    </xf>
    <xf numFmtId="3" fontId="45" fillId="0" borderId="10" xfId="59" applyNumberFormat="1" applyFont="1" applyBorder="1"/>
    <xf numFmtId="0" fontId="45" fillId="0" borderId="10" xfId="51" applyFont="1" applyBorder="1"/>
    <xf numFmtId="3" fontId="45" fillId="0" borderId="10" xfId="51" applyNumberFormat="1" applyFont="1" applyBorder="1"/>
    <xf numFmtId="3" fontId="43" fillId="0" borderId="10" xfId="59" applyNumberFormat="1" applyFont="1" applyBorder="1" applyAlignment="1">
      <alignment vertical="center"/>
    </xf>
    <xf numFmtId="0" fontId="44" fillId="0" borderId="10" xfId="59" applyFont="1" applyBorder="1" applyAlignment="1">
      <alignment wrapText="1"/>
    </xf>
    <xf numFmtId="3" fontId="44" fillId="0" borderId="10" xfId="51" applyNumberFormat="1" applyFont="1" applyBorder="1"/>
    <xf numFmtId="3" fontId="62" fillId="0" borderId="0" xfId="69" applyNumberFormat="1" applyFont="1" applyAlignment="1">
      <alignment horizontal="right"/>
    </xf>
    <xf numFmtId="3" fontId="63" fillId="0" borderId="10" xfId="69" applyNumberFormat="1" applyFont="1" applyBorder="1" applyAlignment="1">
      <alignment horizontal="right"/>
    </xf>
    <xf numFmtId="3" fontId="38" fillId="0" borderId="10" xfId="69" applyNumberFormat="1" applyFont="1" applyBorder="1" applyAlignment="1">
      <alignment horizontal="right"/>
    </xf>
    <xf numFmtId="3" fontId="62" fillId="0" borderId="10" xfId="69" applyNumberFormat="1" applyFont="1" applyBorder="1"/>
    <xf numFmtId="3" fontId="65" fillId="0" borderId="10" xfId="69" applyNumberFormat="1" applyFont="1" applyBorder="1"/>
    <xf numFmtId="3" fontId="63" fillId="0" borderId="10" xfId="69" applyNumberFormat="1" applyFont="1" applyBorder="1"/>
    <xf numFmtId="0" fontId="48" fillId="0" borderId="10" xfId="70" applyFont="1" applyBorder="1"/>
    <xf numFmtId="0" fontId="48" fillId="0" borderId="10" xfId="70" applyFont="1" applyBorder="1" applyAlignment="1">
      <alignment wrapText="1"/>
    </xf>
    <xf numFmtId="0" fontId="51" fillId="0" borderId="10" xfId="70" applyBorder="1" applyAlignment="1">
      <alignment wrapText="1"/>
    </xf>
    <xf numFmtId="168" fontId="51" fillId="0" borderId="0" xfId="70" applyNumberFormat="1"/>
    <xf numFmtId="170" fontId="51" fillId="0" borderId="0" xfId="70" applyNumberFormat="1"/>
    <xf numFmtId="0" fontId="76" fillId="0" borderId="0" xfId="51" applyFont="1"/>
    <xf numFmtId="0" fontId="26" fillId="0" borderId="10" xfId="75" applyFont="1" applyBorder="1" applyAlignment="1">
      <alignment horizontal="center" vertical="center" wrapText="1"/>
    </xf>
    <xf numFmtId="0" fontId="26" fillId="0" borderId="10" xfId="51" applyFont="1" applyBorder="1" applyAlignment="1">
      <alignment horizontal="center" vertical="center" wrapText="1"/>
    </xf>
    <xf numFmtId="0" fontId="26" fillId="0" borderId="10" xfId="75" applyFont="1" applyBorder="1"/>
    <xf numFmtId="0" fontId="26" fillId="0" borderId="10" xfId="75" applyFont="1" applyBorder="1" applyAlignment="1">
      <alignment horizontal="right"/>
    </xf>
    <xf numFmtId="0" fontId="26" fillId="0" borderId="10" xfId="51" applyFont="1" applyBorder="1"/>
    <xf numFmtId="0" fontId="77" fillId="0" borderId="10" xfId="75" applyFont="1" applyBorder="1"/>
    <xf numFmtId="0" fontId="77" fillId="0" borderId="10" xfId="51" applyFont="1" applyBorder="1"/>
    <xf numFmtId="2" fontId="77" fillId="0" borderId="10" xfId="75" applyNumberFormat="1" applyFont="1" applyBorder="1"/>
    <xf numFmtId="0" fontId="36" fillId="0" borderId="73" xfId="53" applyFont="1" applyBorder="1"/>
    <xf numFmtId="0" fontId="36" fillId="0" borderId="74" xfId="53" applyFont="1" applyBorder="1"/>
    <xf numFmtId="0" fontId="36" fillId="0" borderId="47" xfId="53" applyFont="1" applyBorder="1"/>
    <xf numFmtId="3" fontId="36" fillId="0" borderId="0" xfId="53" applyNumberFormat="1" applyFont="1" applyBorder="1"/>
    <xf numFmtId="1" fontId="38" fillId="0" borderId="41" xfId="53" applyNumberFormat="1" applyFont="1" applyBorder="1" applyAlignment="1">
      <alignment horizontal="center" wrapText="1"/>
    </xf>
    <xf numFmtId="0" fontId="7" fillId="0" borderId="41" xfId="51" applyBorder="1" applyAlignment="1">
      <alignment horizontal="center" wrapText="1"/>
    </xf>
    <xf numFmtId="0" fontId="33" fillId="0" borderId="0" xfId="53" applyFont="1" applyBorder="1" applyAlignment="1">
      <alignment horizontal="center" wrapText="1"/>
    </xf>
    <xf numFmtId="0" fontId="7" fillId="0" borderId="0" xfId="52"/>
    <xf numFmtId="0" fontId="26" fillId="0" borderId="0" xfId="74" applyFont="1" applyAlignment="1">
      <alignment horizontal="center"/>
    </xf>
    <xf numFmtId="0" fontId="26" fillId="0" borderId="10" xfId="75" applyFont="1" applyBorder="1" applyAlignment="1">
      <alignment horizontal="center"/>
    </xf>
    <xf numFmtId="0" fontId="77" fillId="0" borderId="10" xfId="75" applyFont="1" applyBorder="1" applyAlignment="1">
      <alignment horizontal="center"/>
    </xf>
    <xf numFmtId="0" fontId="44" fillId="0" borderId="0" xfId="59" applyFont="1" applyAlignment="1">
      <alignment horizontal="center" wrapText="1"/>
    </xf>
    <xf numFmtId="0" fontId="44" fillId="0" borderId="0" xfId="59" applyFont="1" applyAlignment="1">
      <alignment horizontal="center" vertical="center" wrapText="1"/>
    </xf>
    <xf numFmtId="0" fontId="49" fillId="0" borderId="0" xfId="51" applyFont="1" applyAlignment="1">
      <alignment horizontal="center"/>
    </xf>
    <xf numFmtId="0" fontId="49" fillId="0" borderId="10" xfId="51" applyFont="1" applyBorder="1" applyAlignment="1">
      <alignment horizontal="center" vertical="center"/>
    </xf>
    <xf numFmtId="0" fontId="49" fillId="0" borderId="10" xfId="51" applyFont="1" applyBorder="1" applyAlignment="1">
      <alignment horizontal="center" vertical="center" wrapText="1"/>
    </xf>
    <xf numFmtId="0" fontId="50" fillId="0" borderId="10" xfId="51" applyFont="1" applyBorder="1" applyAlignment="1">
      <alignment horizontal="center"/>
    </xf>
    <xf numFmtId="0" fontId="0" fillId="0" borderId="0" xfId="0" applyAlignment="1">
      <alignment horizontal="center"/>
    </xf>
    <xf numFmtId="0" fontId="49" fillId="0" borderId="47" xfId="51" applyFont="1" applyBorder="1" applyAlignment="1">
      <alignment horizontal="center" vertical="center"/>
    </xf>
    <xf numFmtId="0" fontId="49" fillId="0" borderId="12" xfId="51" applyFont="1" applyBorder="1" applyAlignment="1">
      <alignment horizontal="center" vertical="center"/>
    </xf>
    <xf numFmtId="0" fontId="49" fillId="0" borderId="47" xfId="51" applyFont="1" applyBorder="1" applyAlignment="1">
      <alignment horizontal="center" vertical="center" wrapText="1"/>
    </xf>
    <xf numFmtId="0" fontId="49" fillId="0" borderId="12" xfId="51" applyFont="1" applyBorder="1" applyAlignment="1">
      <alignment horizontal="center" vertical="center" wrapText="1"/>
    </xf>
    <xf numFmtId="3" fontId="49" fillId="0" borderId="47" xfId="51" applyNumberFormat="1" applyFont="1" applyBorder="1" applyAlignment="1">
      <alignment horizontal="center" vertical="center" wrapText="1"/>
    </xf>
    <xf numFmtId="3" fontId="49" fillId="0" borderId="12" xfId="51" applyNumberFormat="1" applyFont="1" applyBorder="1" applyAlignment="1">
      <alignment horizontal="center" vertical="center"/>
    </xf>
    <xf numFmtId="0" fontId="36" fillId="0" borderId="0" xfId="53" applyFont="1" applyBorder="1" applyAlignment="1">
      <alignment horizontal="right"/>
    </xf>
    <xf numFmtId="0" fontId="50" fillId="0" borderId="0" xfId="66" applyFont="1" applyAlignment="1">
      <alignment horizontal="center"/>
    </xf>
    <xf numFmtId="0" fontId="33" fillId="0" borderId="22" xfId="66" applyFont="1" applyBorder="1" applyAlignment="1">
      <alignment horizontal="right"/>
    </xf>
    <xf numFmtId="0" fontId="33" fillId="0" borderId="40" xfId="66" applyFont="1" applyBorder="1" applyAlignment="1">
      <alignment horizontal="right"/>
    </xf>
    <xf numFmtId="0" fontId="77" fillId="0" borderId="0" xfId="66" applyFont="1" applyAlignment="1">
      <alignment horizontal="center"/>
    </xf>
    <xf numFmtId="0" fontId="33" fillId="0" borderId="16" xfId="66" applyFont="1" applyBorder="1" applyAlignment="1">
      <alignment horizontal="center" vertical="center" wrapText="1"/>
    </xf>
    <xf numFmtId="0" fontId="33" fillId="0" borderId="22" xfId="66" applyFont="1" applyBorder="1" applyAlignment="1">
      <alignment horizontal="center" vertical="center" wrapText="1"/>
    </xf>
    <xf numFmtId="49" fontId="33" fillId="0" borderId="32" xfId="66" applyNumberFormat="1" applyFont="1" applyBorder="1" applyAlignment="1">
      <alignment horizontal="center" vertical="center" wrapText="1"/>
    </xf>
    <xf numFmtId="49" fontId="33" fillId="0" borderId="40" xfId="66" applyNumberFormat="1" applyFont="1" applyBorder="1" applyAlignment="1">
      <alignment horizontal="center" vertical="center" wrapText="1"/>
    </xf>
    <xf numFmtId="0" fontId="33" fillId="0" borderId="48" xfId="66" applyFont="1" applyBorder="1" applyAlignment="1">
      <alignment horizontal="center" vertical="center" wrapText="1"/>
    </xf>
    <xf numFmtId="0" fontId="33" fillId="0" borderId="49" xfId="66" applyFont="1" applyBorder="1" applyAlignment="1">
      <alignment horizontal="center" vertical="center" wrapText="1"/>
    </xf>
    <xf numFmtId="0" fontId="33" fillId="0" borderId="32" xfId="66" applyFont="1" applyBorder="1" applyAlignment="1">
      <alignment horizontal="center" vertical="center" wrapText="1"/>
    </xf>
    <xf numFmtId="0" fontId="33" fillId="0" borderId="40" xfId="66" applyFont="1" applyBorder="1" applyAlignment="1">
      <alignment horizontal="center" vertical="center" wrapText="1"/>
    </xf>
    <xf numFmtId="0" fontId="33" fillId="0" borderId="17" xfId="66" applyFont="1" applyBorder="1" applyAlignment="1">
      <alignment horizontal="center" vertical="center" wrapText="1"/>
    </xf>
    <xf numFmtId="0" fontId="33" fillId="0" borderId="24" xfId="66" applyFont="1" applyBorder="1" applyAlignment="1">
      <alignment horizontal="center" vertical="center" wrapText="1"/>
    </xf>
    <xf numFmtId="0" fontId="60" fillId="0" borderId="0" xfId="0" applyFont="1" applyAlignment="1">
      <alignment wrapText="1"/>
    </xf>
    <xf numFmtId="0" fontId="33" fillId="0" borderId="0" xfId="66" applyFont="1" applyAlignment="1">
      <alignment horizontal="center"/>
    </xf>
    <xf numFmtId="0" fontId="33" fillId="0" borderId="10" xfId="66" applyFont="1" applyBorder="1" applyAlignment="1">
      <alignment horizontal="center" vertical="center" wrapText="1"/>
    </xf>
    <xf numFmtId="49" fontId="33" fillId="0" borderId="10" xfId="66" applyNumberFormat="1" applyFont="1" applyBorder="1" applyAlignment="1">
      <alignment horizontal="center" vertical="center" wrapText="1"/>
    </xf>
    <xf numFmtId="0" fontId="33" fillId="0" borderId="32" xfId="66" applyFont="1" applyBorder="1" applyAlignment="1">
      <alignment horizontal="center" wrapText="1"/>
    </xf>
    <xf numFmtId="0" fontId="33" fillId="0" borderId="10" xfId="66" applyFont="1" applyBorder="1" applyAlignment="1">
      <alignment horizontal="center" wrapText="1"/>
    </xf>
    <xf numFmtId="0" fontId="63" fillId="0" borderId="0" xfId="69" applyFont="1" applyAlignment="1">
      <alignment horizontal="center"/>
    </xf>
    <xf numFmtId="0" fontId="7" fillId="0" borderId="0" xfId="51" applyAlignment="1">
      <alignment horizontal="left" wrapText="1"/>
    </xf>
    <xf numFmtId="0" fontId="7" fillId="0" borderId="0" xfId="51" applyAlignment="1">
      <alignment horizontal="right"/>
    </xf>
    <xf numFmtId="0" fontId="68" fillId="0" borderId="0" xfId="51" applyFont="1" applyAlignment="1">
      <alignment horizontal="left" wrapText="1"/>
    </xf>
    <xf numFmtId="0" fontId="7" fillId="0" borderId="0" xfId="51" applyAlignment="1">
      <alignment horizontal="left"/>
    </xf>
    <xf numFmtId="0" fontId="49" fillId="0" borderId="0" xfId="70" applyFont="1" applyAlignment="1">
      <alignment horizontal="center"/>
    </xf>
    <xf numFmtId="0" fontId="69" fillId="0" borderId="0" xfId="70" applyFont="1" applyAlignment="1">
      <alignment horizontal="center"/>
    </xf>
    <xf numFmtId="0" fontId="50" fillId="0" borderId="67" xfId="70" applyFont="1" applyBorder="1"/>
    <xf numFmtId="0" fontId="50" fillId="0" borderId="68" xfId="70" applyFont="1" applyBorder="1"/>
    <xf numFmtId="0" fontId="50" fillId="0" borderId="69" xfId="70" applyFont="1" applyBorder="1"/>
    <xf numFmtId="0" fontId="67" fillId="0" borderId="0" xfId="51" applyFont="1" applyAlignment="1">
      <alignment horizontal="right"/>
    </xf>
    <xf numFmtId="0" fontId="66" fillId="0" borderId="0" xfId="51" applyFont="1" applyAlignment="1">
      <alignment horizontal="center"/>
    </xf>
    <xf numFmtId="0" fontId="32" fillId="0" borderId="0" xfId="72" applyFont="1" applyAlignment="1">
      <alignment horizontal="center"/>
    </xf>
    <xf numFmtId="0" fontId="66" fillId="0" borderId="0" xfId="72" applyFont="1" applyAlignment="1">
      <alignment horizontal="center"/>
    </xf>
    <xf numFmtId="0" fontId="66" fillId="0" borderId="0" xfId="72" applyFont="1" applyAlignment="1">
      <alignment horizontal="right"/>
    </xf>
    <xf numFmtId="0" fontId="32" fillId="0" borderId="0" xfId="72" applyFont="1" applyAlignment="1">
      <alignment horizontal="right"/>
    </xf>
    <xf numFmtId="0" fontId="31" fillId="0" borderId="0" xfId="72" applyFont="1" applyAlignment="1">
      <alignment horizontal="center" vertical="center" wrapText="1"/>
    </xf>
  </cellXfs>
  <cellStyles count="76">
    <cellStyle name="20% - 1. jelölőszín" xfId="1" builtinId="30" customBuiltin="1"/>
    <cellStyle name="20% - 1. jelölőszín 2" xfId="2" xr:uid="{00000000-0005-0000-0000-000001000000}"/>
    <cellStyle name="20% - 2. jelölőszín" xfId="3" builtinId="34" customBuiltin="1"/>
    <cellStyle name="20% - 2. jelölőszín 2" xfId="4" xr:uid="{00000000-0005-0000-0000-000003000000}"/>
    <cellStyle name="20% - 3. jelölőszín" xfId="5" builtinId="38" customBuiltin="1"/>
    <cellStyle name="20% - 3. jelölőszín 2" xfId="6" xr:uid="{00000000-0005-0000-0000-000005000000}"/>
    <cellStyle name="20% - 4. jelölőszín" xfId="7" builtinId="42" customBuiltin="1"/>
    <cellStyle name="20% - 4. jelölőszín 2" xfId="8" xr:uid="{00000000-0005-0000-0000-000007000000}"/>
    <cellStyle name="20% - 5. jelölőszín" xfId="9" builtinId="46" customBuiltin="1"/>
    <cellStyle name="20% - 5. jelölőszín 2" xfId="10" xr:uid="{00000000-0005-0000-0000-000009000000}"/>
    <cellStyle name="20% - 6. jelölőszín" xfId="11" builtinId="50" customBuiltin="1"/>
    <cellStyle name="20% - 6. jelölőszín 2" xfId="12" xr:uid="{00000000-0005-0000-0000-00000B000000}"/>
    <cellStyle name="40% - 1. jelölőszín" xfId="13" builtinId="31" customBuiltin="1"/>
    <cellStyle name="40% - 1. jelölőszín 2" xfId="14" xr:uid="{00000000-0005-0000-0000-00000D000000}"/>
    <cellStyle name="40% - 2. jelölőszín" xfId="15" builtinId="35" customBuiltin="1"/>
    <cellStyle name="40% - 2. jelölőszín 2" xfId="16" xr:uid="{00000000-0005-0000-0000-00000F000000}"/>
    <cellStyle name="40% - 3. jelölőszín" xfId="17" builtinId="39" customBuiltin="1"/>
    <cellStyle name="40% - 3. jelölőszín 2" xfId="18" xr:uid="{00000000-0005-0000-0000-000011000000}"/>
    <cellStyle name="40% - 4. jelölőszín" xfId="19" builtinId="43" customBuiltin="1"/>
    <cellStyle name="40% - 4. jelölőszín 2" xfId="20" xr:uid="{00000000-0005-0000-0000-000013000000}"/>
    <cellStyle name="40% - 5. jelölőszín" xfId="21" builtinId="47" customBuiltin="1"/>
    <cellStyle name="40% - 5. jelölőszín 2" xfId="22" xr:uid="{00000000-0005-0000-0000-000015000000}"/>
    <cellStyle name="40% - 6. jelölőszín" xfId="23" builtinId="51" customBuiltin="1"/>
    <cellStyle name="40% - 6. jelölőszín 2" xfId="24" xr:uid="{00000000-0005-0000-0000-000017000000}"/>
    <cellStyle name="60% - 1. jelölőszín" xfId="25" builtinId="32" customBuiltin="1"/>
    <cellStyle name="60% - 2. jelölőszín" xfId="26" builtinId="36" customBuiltin="1"/>
    <cellStyle name="60% - 3. jelölőszín" xfId="27" builtinId="40" customBuiltin="1"/>
    <cellStyle name="60% - 4. jelölőszín" xfId="28" builtinId="44" customBuiltin="1"/>
    <cellStyle name="60% - 5. jelölőszín" xfId="29" builtinId="48" customBuiltin="1"/>
    <cellStyle name="60% - 6. jelölőszín" xfId="30" builtinId="52" customBuiltin="1"/>
    <cellStyle name="Bevitel" xfId="31" builtinId="20" customBuiltin="1"/>
    <cellStyle name="Cím" xfId="32" builtinId="15" customBuiltin="1"/>
    <cellStyle name="Címsor 1" xfId="33" builtinId="16" customBuiltin="1"/>
    <cellStyle name="Címsor 2" xfId="34" builtinId="17" customBuiltin="1"/>
    <cellStyle name="Címsor 3" xfId="35" builtinId="18" customBuiltin="1"/>
    <cellStyle name="Címsor 4" xfId="36" builtinId="19" customBuiltin="1"/>
    <cellStyle name="Ellenőrzőcella" xfId="37" builtinId="23" customBuiltin="1"/>
    <cellStyle name="Ezres 2" xfId="63" xr:uid="{DBEA88C1-A741-4FA8-BA78-29E5B1D27846}"/>
    <cellStyle name="Ezres 2 2" xfId="73" xr:uid="{FC5E8906-CF2A-4774-8B03-5105B75B0654}"/>
    <cellStyle name="Figyelmeztetés" xfId="38" builtinId="11" customBuiltin="1"/>
    <cellStyle name="Hivatkozás 2" xfId="68" xr:uid="{6AABA3DC-1978-4578-8EFA-35F0EFB8793C}"/>
    <cellStyle name="Hivatkozott cella" xfId="39" builtinId="24" customBuiltin="1"/>
    <cellStyle name="Jegyzet" xfId="40" builtinId="10" customBuiltin="1"/>
    <cellStyle name="Jelölőszín 1" xfId="41" builtinId="29" customBuiltin="1"/>
    <cellStyle name="Jelölőszín 2" xfId="42" builtinId="33" customBuiltin="1"/>
    <cellStyle name="Jelölőszín 3" xfId="43" builtinId="37" customBuiltin="1"/>
    <cellStyle name="Jelölőszín 4" xfId="44" builtinId="41" customBuiltin="1"/>
    <cellStyle name="Jelölőszín 5" xfId="45" builtinId="45" customBuiltin="1"/>
    <cellStyle name="Jelölőszín 6" xfId="46" builtinId="49" customBuiltin="1"/>
    <cellStyle name="Jó" xfId="47" builtinId="26" customBuiltin="1"/>
    <cellStyle name="Kimenet" xfId="48" builtinId="21" customBuiltin="1"/>
    <cellStyle name="Magyarázó szöveg" xfId="49" builtinId="53" customBuiltin="1"/>
    <cellStyle name="Normál" xfId="0" builtinId="0"/>
    <cellStyle name="Normál 2" xfId="50" xr:uid="{00000000-0005-0000-0000-000033000000}"/>
    <cellStyle name="Normál 2 2" xfId="51" xr:uid="{00000000-0005-0000-0000-000034000000}"/>
    <cellStyle name="Normál 3" xfId="52" xr:uid="{00000000-0005-0000-0000-000035000000}"/>
    <cellStyle name="Normál 4" xfId="61" xr:uid="{00000000-0005-0000-0000-000036000000}"/>
    <cellStyle name="Normál 4 2" xfId="64" xr:uid="{EC972123-2987-46FC-8607-96D9209D7C41}"/>
    <cellStyle name="Normál 4 3" xfId="71" xr:uid="{2BA35C5F-D19C-40F0-9315-E7C4787DBC5D}"/>
    <cellStyle name="Normál_2005. 4. számú melléklet" xfId="59" xr:uid="{00000000-0005-0000-0000-000037000000}"/>
    <cellStyle name="Normál_2005. 6.számú melléklet" xfId="69" xr:uid="{4A22F59F-138A-4CC3-858C-A47CCEA069B2}"/>
    <cellStyle name="Normál_2005.11.sz.melléklet_10.sz.mell-2012 évi ktgvetés-12.01.24 Bea" xfId="72" xr:uid="{0FBFE4C5-DA7B-49F9-BBEF-9491896C7242}"/>
    <cellStyle name="Normál_2006 Zárszámadási rendelet 1,2,3,4,5,6,8,9,10,11,12,13,14,15 sz. mellékletei" xfId="67" xr:uid="{4766EE65-6C06-458C-81D1-E970C71908EB}"/>
    <cellStyle name="Normál_2009. ktv.rendelet" xfId="53" xr:uid="{00000000-0005-0000-0000-00003B000000}"/>
    <cellStyle name="Normál_3. sz. melléklet létszám" xfId="74" xr:uid="{4769B634-9A74-48B5-94AF-EB7CFE744A5D}"/>
    <cellStyle name="Normál_koltsegvetes_melleklet" xfId="75" xr:uid="{11551DFB-FF99-463C-8FF2-DF59B0BCE706}"/>
    <cellStyle name="Normál_költségvetési rendelet 3 4 5 5b 5c 6 9 9a 11 16a 16b mellékletei" xfId="70" xr:uid="{46F9AA26-B7C9-4AEC-8808-A6347D4F317B}"/>
    <cellStyle name="Normál_költségvetési rendelet 3,4,5,5b,5c,6,9,9a,11,16a,16b mellékletei-2008-3" xfId="66" xr:uid="{97D4D803-24E0-4F04-BC2E-724ADA7A4F58}"/>
    <cellStyle name="Normal_KTRSZJ" xfId="54" xr:uid="{00000000-0005-0000-0000-000040000000}"/>
    <cellStyle name="Összesen" xfId="55" builtinId="25" customBuiltin="1"/>
    <cellStyle name="Pénznem 2" xfId="62" xr:uid="{00000000-0005-0000-0000-000043000000}"/>
    <cellStyle name="Pénznem 3" xfId="65" xr:uid="{064FD446-604F-4AE4-BFA8-C40527429D16}"/>
    <cellStyle name="Rossz" xfId="56" builtinId="27" customBuiltin="1"/>
    <cellStyle name="Semleges" xfId="57" builtinId="28" customBuiltin="1"/>
    <cellStyle name="Számítás" xfId="58" builtinId="22" customBuiltin="1"/>
    <cellStyle name="Százalék 2" xfId="60" xr:uid="{00000000-0005-0000-0000-00004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8.bin"/><Relationship Id="rId1" Type="http://schemas.openxmlformats.org/officeDocument/2006/relationships/hyperlink" Target="https://gazd-a-20.asp.lgov.hu/gazd-dombovar/CORE/eur/php/formfull.php?===tMuE2AvATZ9DzM0NwA581HGMFZjxwAl0QMccapyc3pzD2og9ypyOarmS2n9HJou5To1E2ogMlGT5HFsEIDn9xHOEIDV1QMcIJou5Jol9zMzLJLxqwLwOGCxMTAjLGBsA1H3r5n1===" TargetMode="Externa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BE8AA-5B7C-4ACE-92A1-EAA79713FB2C}">
  <sheetPr>
    <pageSetUpPr fitToPage="1"/>
  </sheetPr>
  <dimension ref="A1:G231"/>
  <sheetViews>
    <sheetView view="pageBreakPreview" zoomScaleNormal="100" zoomScaleSheetLayoutView="100" workbookViewId="0">
      <selection activeCell="G1" sqref="G1"/>
    </sheetView>
  </sheetViews>
  <sheetFormatPr defaultColWidth="8.88671875" defaultRowHeight="16.8" x14ac:dyDescent="0.3"/>
  <cols>
    <col min="1" max="1" width="5.44140625" style="161" customWidth="1"/>
    <col min="2" max="2" width="7.33203125" style="182" customWidth="1"/>
    <col min="3" max="3" width="64.5546875" style="19" customWidth="1"/>
    <col min="4" max="4" width="11.44140625" style="38" customWidth="1"/>
    <col min="5" max="5" width="12" style="38" customWidth="1"/>
    <col min="6" max="7" width="8.88671875" style="38"/>
  </cols>
  <sheetData>
    <row r="1" spans="1:7" x14ac:dyDescent="0.3">
      <c r="A1" s="38"/>
      <c r="B1" s="39"/>
      <c r="C1" s="20"/>
      <c r="D1" s="34"/>
      <c r="E1" s="34"/>
      <c r="F1" s="34"/>
      <c r="G1" s="34" t="s">
        <v>951</v>
      </c>
    </row>
    <row r="2" spans="1:7" x14ac:dyDescent="0.3">
      <c r="A2" s="38"/>
      <c r="B2" s="20"/>
      <c r="C2" s="20"/>
      <c r="D2" s="110"/>
      <c r="E2" s="110"/>
      <c r="F2" s="110"/>
      <c r="G2" s="110"/>
    </row>
    <row r="3" spans="1:7" x14ac:dyDescent="0.3">
      <c r="A3" s="21"/>
      <c r="B3" s="21"/>
      <c r="C3" s="21" t="s">
        <v>4</v>
      </c>
    </row>
    <row r="4" spans="1:7" ht="17.399999999999999" thickBot="1" x14ac:dyDescent="0.35">
      <c r="A4" s="111"/>
      <c r="B4" s="111"/>
      <c r="C4" s="111" t="s">
        <v>895</v>
      </c>
    </row>
    <row r="5" spans="1:7" ht="14.4" thickBot="1" x14ac:dyDescent="0.3">
      <c r="A5" s="112"/>
      <c r="B5" s="113"/>
      <c r="C5" s="114"/>
      <c r="D5" s="575" t="s">
        <v>200</v>
      </c>
      <c r="E5" s="576"/>
      <c r="F5" s="576"/>
      <c r="G5" s="576"/>
    </row>
    <row r="6" spans="1:7" ht="42" thickBot="1" x14ac:dyDescent="0.3">
      <c r="A6" s="104"/>
      <c r="B6" s="115"/>
      <c r="C6" s="116"/>
      <c r="D6" s="117" t="s">
        <v>24</v>
      </c>
      <c r="E6" s="35" t="s">
        <v>41</v>
      </c>
      <c r="F6" s="36" t="s">
        <v>42</v>
      </c>
      <c r="G6" s="118" t="s">
        <v>185</v>
      </c>
    </row>
    <row r="7" spans="1:7" ht="13.8" x14ac:dyDescent="0.25">
      <c r="A7" s="119" t="s">
        <v>5</v>
      </c>
      <c r="B7" s="120" t="s">
        <v>6</v>
      </c>
      <c r="C7" s="121" t="s">
        <v>7</v>
      </c>
      <c r="D7" s="119"/>
      <c r="E7" s="122"/>
      <c r="F7" s="122"/>
      <c r="G7" s="123"/>
    </row>
    <row r="8" spans="1:7" ht="13.8" x14ac:dyDescent="0.25">
      <c r="A8" s="62"/>
      <c r="B8" s="124"/>
      <c r="C8" s="102"/>
      <c r="D8" s="67"/>
      <c r="E8" s="42"/>
      <c r="F8" s="42"/>
      <c r="G8" s="125"/>
    </row>
    <row r="9" spans="1:7" ht="13.8" x14ac:dyDescent="0.25">
      <c r="A9" s="97">
        <v>101</v>
      </c>
      <c r="B9" s="124"/>
      <c r="C9" s="61" t="s">
        <v>821</v>
      </c>
      <c r="D9" s="57"/>
      <c r="E9" s="58"/>
      <c r="F9" s="58"/>
      <c r="G9" s="126"/>
    </row>
    <row r="10" spans="1:7" ht="13.8" x14ac:dyDescent="0.25">
      <c r="A10" s="97"/>
      <c r="B10" s="124" t="s">
        <v>8</v>
      </c>
      <c r="C10" s="102" t="s">
        <v>86</v>
      </c>
      <c r="D10" s="65">
        <v>4684</v>
      </c>
      <c r="E10" s="42">
        <v>4684</v>
      </c>
      <c r="F10" s="42">
        <v>0</v>
      </c>
      <c r="G10" s="125">
        <v>0</v>
      </c>
    </row>
    <row r="11" spans="1:7" ht="13.8" x14ac:dyDescent="0.25">
      <c r="A11" s="97"/>
      <c r="B11" s="124"/>
      <c r="C11" s="99"/>
      <c r="D11" s="65"/>
      <c r="E11" s="42"/>
      <c r="F11" s="42"/>
      <c r="G11" s="125"/>
    </row>
    <row r="12" spans="1:7" ht="13.8" x14ac:dyDescent="0.25">
      <c r="A12" s="62"/>
      <c r="B12" s="124"/>
      <c r="C12" s="130" t="s">
        <v>10</v>
      </c>
      <c r="D12" s="57">
        <f>D10</f>
        <v>4684</v>
      </c>
      <c r="E12" s="58">
        <f t="shared" ref="E12:G12" si="0">E10</f>
        <v>4684</v>
      </c>
      <c r="F12" s="58">
        <f t="shared" si="0"/>
        <v>0</v>
      </c>
      <c r="G12" s="126">
        <f t="shared" si="0"/>
        <v>0</v>
      </c>
    </row>
    <row r="13" spans="1:7" ht="13.8" x14ac:dyDescent="0.25">
      <c r="A13" s="62"/>
      <c r="B13" s="124"/>
      <c r="C13" s="130"/>
      <c r="D13" s="57"/>
      <c r="E13" s="58"/>
      <c r="F13" s="58"/>
      <c r="G13" s="126"/>
    </row>
    <row r="14" spans="1:7" ht="13.8" x14ac:dyDescent="0.25">
      <c r="A14" s="62"/>
      <c r="B14" s="131"/>
      <c r="C14" s="102" t="s">
        <v>3</v>
      </c>
      <c r="D14" s="65"/>
      <c r="E14" s="42"/>
      <c r="F14" s="42"/>
      <c r="G14" s="125"/>
    </row>
    <row r="15" spans="1:7" ht="13.8" x14ac:dyDescent="0.25">
      <c r="A15" s="97">
        <v>102</v>
      </c>
      <c r="B15" s="124"/>
      <c r="C15" s="56" t="s">
        <v>156</v>
      </c>
      <c r="D15" s="57"/>
      <c r="E15" s="58"/>
      <c r="F15" s="58"/>
      <c r="G15" s="126"/>
    </row>
    <row r="16" spans="1:7" ht="13.8" x14ac:dyDescent="0.25">
      <c r="A16" s="62"/>
      <c r="B16" s="124" t="s">
        <v>8</v>
      </c>
      <c r="C16" s="102" t="s">
        <v>86</v>
      </c>
      <c r="D16" s="65">
        <v>20000</v>
      </c>
      <c r="E16" s="42">
        <v>20000</v>
      </c>
      <c r="F16" s="42">
        <v>0</v>
      </c>
      <c r="G16" s="125">
        <v>0</v>
      </c>
    </row>
    <row r="17" spans="1:7" ht="13.8" x14ac:dyDescent="0.25">
      <c r="A17" s="62"/>
      <c r="B17" s="124"/>
      <c r="C17" s="99"/>
      <c r="D17" s="65"/>
      <c r="E17" s="42"/>
      <c r="F17" s="42"/>
      <c r="G17" s="125"/>
    </row>
    <row r="18" spans="1:7" ht="13.8" x14ac:dyDescent="0.25">
      <c r="A18" s="62"/>
      <c r="B18" s="124"/>
      <c r="C18" s="130" t="s">
        <v>29</v>
      </c>
      <c r="D18" s="57">
        <f>D16</f>
        <v>20000</v>
      </c>
      <c r="E18" s="58">
        <f t="shared" ref="E18:G18" si="1">E16</f>
        <v>20000</v>
      </c>
      <c r="F18" s="58">
        <f t="shared" si="1"/>
        <v>0</v>
      </c>
      <c r="G18" s="126">
        <f t="shared" si="1"/>
        <v>0</v>
      </c>
    </row>
    <row r="19" spans="1:7" ht="13.8" x14ac:dyDescent="0.25">
      <c r="A19" s="62"/>
      <c r="B19" s="124"/>
      <c r="C19" s="102"/>
      <c r="D19" s="65"/>
      <c r="E19" s="42"/>
      <c r="F19" s="42"/>
      <c r="G19" s="125"/>
    </row>
    <row r="20" spans="1:7" ht="13.8" x14ac:dyDescent="0.25">
      <c r="A20" s="234">
        <v>103</v>
      </c>
      <c r="B20" s="69"/>
      <c r="C20" s="130" t="s">
        <v>44</v>
      </c>
      <c r="D20" s="57"/>
      <c r="E20" s="58"/>
      <c r="F20" s="58"/>
      <c r="G20" s="126"/>
    </row>
    <row r="21" spans="1:7" ht="13.8" x14ac:dyDescent="0.25">
      <c r="A21" s="97"/>
      <c r="B21" s="124" t="s">
        <v>8</v>
      </c>
      <c r="C21" s="102" t="s">
        <v>86</v>
      </c>
      <c r="D21" s="65"/>
      <c r="E21" s="42"/>
      <c r="F21" s="42"/>
      <c r="G21" s="125"/>
    </row>
    <row r="22" spans="1:7" ht="13.8" x14ac:dyDescent="0.25">
      <c r="A22" s="97"/>
      <c r="B22" s="124"/>
      <c r="C22" s="102" t="s">
        <v>87</v>
      </c>
      <c r="D22" s="65">
        <v>7000</v>
      </c>
      <c r="E22" s="42">
        <v>7000</v>
      </c>
      <c r="F22" s="42">
        <v>0</v>
      </c>
      <c r="G22" s="125">
        <v>0</v>
      </c>
    </row>
    <row r="23" spans="1:7" ht="13.8" x14ac:dyDescent="0.25">
      <c r="A23" s="97"/>
      <c r="B23" s="124"/>
      <c r="C23" s="102" t="s">
        <v>88</v>
      </c>
      <c r="D23" s="65">
        <v>0</v>
      </c>
      <c r="E23" s="42">
        <v>0</v>
      </c>
      <c r="F23" s="42">
        <v>0</v>
      </c>
      <c r="G23" s="125">
        <v>0</v>
      </c>
    </row>
    <row r="24" spans="1:7" ht="13.8" x14ac:dyDescent="0.25">
      <c r="A24" s="70"/>
      <c r="B24" s="132"/>
      <c r="C24" s="133" t="s">
        <v>25</v>
      </c>
      <c r="D24" s="72">
        <f t="shared" ref="D24:G24" si="2">SUM(D22:D23)</f>
        <v>7000</v>
      </c>
      <c r="E24" s="73">
        <f t="shared" si="2"/>
        <v>7000</v>
      </c>
      <c r="F24" s="73">
        <f t="shared" si="2"/>
        <v>0</v>
      </c>
      <c r="G24" s="134">
        <f t="shared" si="2"/>
        <v>0</v>
      </c>
    </row>
    <row r="25" spans="1:7" ht="13.8" x14ac:dyDescent="0.25">
      <c r="A25" s="70"/>
      <c r="B25" s="124"/>
      <c r="C25" s="99"/>
      <c r="D25" s="72"/>
      <c r="E25" s="73"/>
      <c r="F25" s="73"/>
      <c r="G25" s="134"/>
    </row>
    <row r="26" spans="1:7" ht="13.8" x14ac:dyDescent="0.25">
      <c r="A26" s="97"/>
      <c r="B26" s="124"/>
      <c r="C26" s="130" t="s">
        <v>248</v>
      </c>
      <c r="D26" s="57">
        <f>D24</f>
        <v>7000</v>
      </c>
      <c r="E26" s="58">
        <f>E24</f>
        <v>7000</v>
      </c>
      <c r="F26" s="58">
        <f>F24</f>
        <v>0</v>
      </c>
      <c r="G26" s="126">
        <f>G24</f>
        <v>0</v>
      </c>
    </row>
    <row r="27" spans="1:7" ht="13.8" x14ac:dyDescent="0.25">
      <c r="A27" s="97"/>
      <c r="B27" s="124"/>
      <c r="C27" s="130"/>
      <c r="D27" s="57"/>
      <c r="E27" s="58"/>
      <c r="F27" s="58"/>
      <c r="G27" s="126"/>
    </row>
    <row r="28" spans="1:7" ht="13.8" x14ac:dyDescent="0.25">
      <c r="A28" s="97"/>
      <c r="B28" s="124"/>
      <c r="C28" s="130" t="s">
        <v>249</v>
      </c>
      <c r="D28" s="57">
        <f>D12+D18+D26</f>
        <v>31684</v>
      </c>
      <c r="E28" s="58">
        <f>E12+E18+E26</f>
        <v>31684</v>
      </c>
      <c r="F28" s="58">
        <f>F12+F18+F26</f>
        <v>0</v>
      </c>
      <c r="G28" s="126">
        <f>G12+G18+G26</f>
        <v>0</v>
      </c>
    </row>
    <row r="29" spans="1:7" ht="13.8" x14ac:dyDescent="0.25">
      <c r="A29" s="97"/>
      <c r="B29" s="124"/>
      <c r="C29" s="130"/>
      <c r="D29" s="57"/>
      <c r="E29" s="58"/>
      <c r="F29" s="58"/>
      <c r="G29" s="126"/>
    </row>
    <row r="30" spans="1:7" ht="13.8" x14ac:dyDescent="0.25">
      <c r="A30" s="62"/>
      <c r="B30" s="124"/>
      <c r="C30" s="102"/>
      <c r="D30" s="65"/>
      <c r="E30" s="42"/>
      <c r="F30" s="42"/>
      <c r="G30" s="125"/>
    </row>
    <row r="31" spans="1:7" ht="13.8" x14ac:dyDescent="0.25">
      <c r="A31" s="97">
        <v>104</v>
      </c>
      <c r="B31" s="131"/>
      <c r="C31" s="61" t="s">
        <v>30</v>
      </c>
      <c r="D31" s="135"/>
      <c r="E31" s="136"/>
      <c r="F31" s="136"/>
      <c r="G31" s="137"/>
    </row>
    <row r="32" spans="1:7" ht="13.8" x14ac:dyDescent="0.25">
      <c r="A32" s="62"/>
      <c r="B32" s="124" t="s">
        <v>8</v>
      </c>
      <c r="C32" s="102" t="s">
        <v>86</v>
      </c>
      <c r="D32" s="87"/>
      <c r="E32" s="88"/>
      <c r="F32" s="88"/>
      <c r="G32" s="129"/>
    </row>
    <row r="33" spans="1:7" ht="27.6" x14ac:dyDescent="0.25">
      <c r="A33" s="62"/>
      <c r="B33" s="124"/>
      <c r="C33" s="99" t="s">
        <v>299</v>
      </c>
      <c r="D33" s="87">
        <v>10000</v>
      </c>
      <c r="E33" s="88">
        <v>10000</v>
      </c>
      <c r="F33" s="88">
        <v>0</v>
      </c>
      <c r="G33" s="129">
        <v>0</v>
      </c>
    </row>
    <row r="34" spans="1:7" ht="13.8" x14ac:dyDescent="0.25">
      <c r="A34" s="127"/>
      <c r="B34" s="128"/>
      <c r="C34" s="99" t="s">
        <v>300</v>
      </c>
      <c r="D34" s="87">
        <v>6000</v>
      </c>
      <c r="E34" s="88">
        <v>6000</v>
      </c>
      <c r="F34" s="88">
        <v>0</v>
      </c>
      <c r="G34" s="129">
        <v>0</v>
      </c>
    </row>
    <row r="35" spans="1:7" ht="13.8" x14ac:dyDescent="0.25">
      <c r="A35" s="62"/>
      <c r="B35" s="132"/>
      <c r="C35" s="99" t="s">
        <v>166</v>
      </c>
      <c r="D35" s="87">
        <v>65000</v>
      </c>
      <c r="E35" s="88">
        <v>65000</v>
      </c>
      <c r="F35" s="88">
        <v>0</v>
      </c>
      <c r="G35" s="129">
        <v>0</v>
      </c>
    </row>
    <row r="36" spans="1:7" ht="13.8" x14ac:dyDescent="0.25">
      <c r="A36" s="62"/>
      <c r="B36" s="132"/>
      <c r="C36" s="139" t="s">
        <v>167</v>
      </c>
      <c r="D36" s="87">
        <v>5800</v>
      </c>
      <c r="E36" s="88">
        <v>5800</v>
      </c>
      <c r="F36" s="88">
        <v>0</v>
      </c>
      <c r="G36" s="129">
        <v>0</v>
      </c>
    </row>
    <row r="37" spans="1:7" ht="13.8" x14ac:dyDescent="0.25">
      <c r="A37" s="62"/>
      <c r="B37" s="132"/>
      <c r="C37" s="140" t="s">
        <v>168</v>
      </c>
      <c r="D37" s="87">
        <v>4500</v>
      </c>
      <c r="E37" s="88">
        <v>4500</v>
      </c>
      <c r="F37" s="88">
        <v>0</v>
      </c>
      <c r="G37" s="129">
        <v>0</v>
      </c>
    </row>
    <row r="38" spans="1:7" ht="13.8" x14ac:dyDescent="0.25">
      <c r="A38" s="62"/>
      <c r="B38" s="132"/>
      <c r="C38" s="140" t="s">
        <v>169</v>
      </c>
      <c r="D38" s="87">
        <v>29592</v>
      </c>
      <c r="E38" s="88">
        <v>29592</v>
      </c>
      <c r="F38" s="88">
        <v>0</v>
      </c>
      <c r="G38" s="129">
        <v>0</v>
      </c>
    </row>
    <row r="39" spans="1:7" ht="13.8" x14ac:dyDescent="0.25">
      <c r="A39" s="62"/>
      <c r="B39" s="132"/>
      <c r="C39" s="140" t="s">
        <v>170</v>
      </c>
      <c r="D39" s="87">
        <v>11000</v>
      </c>
      <c r="E39" s="88">
        <v>0</v>
      </c>
      <c r="F39" s="88">
        <v>11000</v>
      </c>
      <c r="G39" s="129">
        <v>0</v>
      </c>
    </row>
    <row r="40" spans="1:7" ht="13.8" x14ac:dyDescent="0.25">
      <c r="A40" s="127"/>
      <c r="B40" s="128"/>
      <c r="C40" s="99" t="s">
        <v>171</v>
      </c>
      <c r="D40" s="87">
        <v>1200</v>
      </c>
      <c r="E40" s="88">
        <v>0</v>
      </c>
      <c r="F40" s="88">
        <v>1200</v>
      </c>
      <c r="G40" s="129">
        <v>0</v>
      </c>
    </row>
    <row r="41" spans="1:7" ht="13.8" x14ac:dyDescent="0.25">
      <c r="A41" s="127"/>
      <c r="B41" s="128"/>
      <c r="C41" s="99" t="s">
        <v>179</v>
      </c>
      <c r="D41" s="87">
        <v>5000</v>
      </c>
      <c r="E41" s="88">
        <v>0</v>
      </c>
      <c r="F41" s="88">
        <v>5000</v>
      </c>
      <c r="G41" s="129">
        <v>0</v>
      </c>
    </row>
    <row r="42" spans="1:7" ht="13.8" x14ac:dyDescent="0.25">
      <c r="A42" s="127"/>
      <c r="B42" s="128"/>
      <c r="C42" s="99" t="s">
        <v>301</v>
      </c>
      <c r="D42" s="87">
        <v>45792</v>
      </c>
      <c r="E42" s="88">
        <v>45792</v>
      </c>
      <c r="F42" s="88">
        <v>0</v>
      </c>
      <c r="G42" s="129">
        <v>0</v>
      </c>
    </row>
    <row r="43" spans="1:7" ht="13.8" x14ac:dyDescent="0.25">
      <c r="A43" s="62"/>
      <c r="B43" s="132"/>
      <c r="C43" s="140"/>
      <c r="D43" s="87"/>
      <c r="E43" s="88"/>
      <c r="F43" s="88"/>
      <c r="G43" s="129"/>
    </row>
    <row r="44" spans="1:7" ht="14.4" x14ac:dyDescent="0.3">
      <c r="A44" s="62"/>
      <c r="B44" s="124"/>
      <c r="C44" s="141" t="s">
        <v>33</v>
      </c>
      <c r="D44" s="142">
        <f t="shared" ref="D44:G44" si="3">SUM(D33:D43)</f>
        <v>183884</v>
      </c>
      <c r="E44" s="143">
        <f t="shared" si="3"/>
        <v>166684</v>
      </c>
      <c r="F44" s="143">
        <f t="shared" si="3"/>
        <v>17200</v>
      </c>
      <c r="G44" s="144">
        <f t="shared" si="3"/>
        <v>0</v>
      </c>
    </row>
    <row r="45" spans="1:7" ht="13.8" x14ac:dyDescent="0.25">
      <c r="A45" s="62"/>
      <c r="B45" s="124"/>
      <c r="C45" s="99"/>
      <c r="D45" s="87"/>
      <c r="E45" s="88"/>
      <c r="F45" s="88"/>
      <c r="G45" s="129"/>
    </row>
    <row r="46" spans="1:7" ht="13.8" x14ac:dyDescent="0.25">
      <c r="A46" s="62"/>
      <c r="B46" s="124" t="s">
        <v>12</v>
      </c>
      <c r="C46" s="99" t="s">
        <v>56</v>
      </c>
      <c r="D46" s="87"/>
      <c r="E46" s="88"/>
      <c r="F46" s="88"/>
      <c r="G46" s="129"/>
    </row>
    <row r="47" spans="1:7" ht="13.8" x14ac:dyDescent="0.25">
      <c r="A47" s="62"/>
      <c r="B47" s="124"/>
      <c r="C47" s="99" t="s">
        <v>58</v>
      </c>
      <c r="D47" s="87"/>
      <c r="E47" s="88"/>
      <c r="F47" s="88"/>
      <c r="G47" s="129"/>
    </row>
    <row r="48" spans="1:7" ht="13.8" x14ac:dyDescent="0.25">
      <c r="A48" s="62"/>
      <c r="B48" s="124"/>
      <c r="C48" s="99" t="s">
        <v>66</v>
      </c>
      <c r="D48" s="87">
        <v>66000</v>
      </c>
      <c r="E48" s="88">
        <v>66000</v>
      </c>
      <c r="F48" s="88">
        <v>0</v>
      </c>
      <c r="G48" s="129">
        <v>0</v>
      </c>
    </row>
    <row r="49" spans="1:7" ht="13.8" x14ac:dyDescent="0.25">
      <c r="A49" s="62"/>
      <c r="B49" s="124"/>
      <c r="C49" s="99" t="s">
        <v>64</v>
      </c>
      <c r="D49" s="87">
        <v>134000</v>
      </c>
      <c r="E49" s="88">
        <v>134000</v>
      </c>
      <c r="F49" s="88">
        <v>0</v>
      </c>
      <c r="G49" s="129">
        <v>0</v>
      </c>
    </row>
    <row r="50" spans="1:7" ht="13.8" x14ac:dyDescent="0.25">
      <c r="A50" s="127"/>
      <c r="B50" s="128"/>
      <c r="C50" s="99" t="s">
        <v>65</v>
      </c>
      <c r="D50" s="87">
        <v>12000</v>
      </c>
      <c r="E50" s="88">
        <v>12000</v>
      </c>
      <c r="F50" s="88">
        <v>0</v>
      </c>
      <c r="G50" s="129">
        <v>0</v>
      </c>
    </row>
    <row r="51" spans="1:7" ht="13.8" x14ac:dyDescent="0.25">
      <c r="A51" s="127"/>
      <c r="B51" s="128"/>
      <c r="C51" s="99" t="s">
        <v>67</v>
      </c>
      <c r="D51" s="87">
        <f>687000+98066+93093</f>
        <v>878159</v>
      </c>
      <c r="E51" s="88">
        <v>878159</v>
      </c>
      <c r="F51" s="88">
        <v>0</v>
      </c>
      <c r="G51" s="129">
        <v>0</v>
      </c>
    </row>
    <row r="52" spans="1:7" ht="14.4" x14ac:dyDescent="0.3">
      <c r="A52" s="62"/>
      <c r="B52" s="124"/>
      <c r="C52" s="146" t="s">
        <v>25</v>
      </c>
      <c r="D52" s="142">
        <f t="shared" ref="D52:G52" si="4">SUM(D48:D51)</f>
        <v>1090159</v>
      </c>
      <c r="E52" s="143">
        <f t="shared" si="4"/>
        <v>1090159</v>
      </c>
      <c r="F52" s="143">
        <f t="shared" si="4"/>
        <v>0</v>
      </c>
      <c r="G52" s="144">
        <f t="shared" si="4"/>
        <v>0</v>
      </c>
    </row>
    <row r="53" spans="1:7" ht="13.8" x14ac:dyDescent="0.25">
      <c r="A53" s="62"/>
      <c r="B53" s="124"/>
      <c r="C53" s="146"/>
      <c r="D53" s="147"/>
      <c r="E53" s="148"/>
      <c r="F53" s="148"/>
      <c r="G53" s="149"/>
    </row>
    <row r="54" spans="1:7" ht="13.8" x14ac:dyDescent="0.25">
      <c r="A54" s="70"/>
      <c r="B54" s="132"/>
      <c r="C54" s="99" t="s">
        <v>172</v>
      </c>
      <c r="D54" s="87"/>
      <c r="E54" s="88"/>
      <c r="F54" s="88"/>
      <c r="G54" s="129"/>
    </row>
    <row r="55" spans="1:7" ht="13.8" x14ac:dyDescent="0.25">
      <c r="A55" s="127"/>
      <c r="B55" s="128"/>
      <c r="C55" s="99" t="s">
        <v>173</v>
      </c>
      <c r="D55" s="87">
        <v>4000</v>
      </c>
      <c r="E55" s="88">
        <v>4000</v>
      </c>
      <c r="F55" s="88">
        <v>0</v>
      </c>
      <c r="G55" s="129">
        <v>0</v>
      </c>
    </row>
    <row r="56" spans="1:7" ht="13.8" x14ac:dyDescent="0.25">
      <c r="A56" s="70"/>
      <c r="B56" s="132"/>
      <c r="C56" s="140" t="s">
        <v>174</v>
      </c>
      <c r="D56" s="87">
        <v>4000</v>
      </c>
      <c r="E56" s="88">
        <v>4000</v>
      </c>
      <c r="F56" s="88">
        <v>0</v>
      </c>
      <c r="G56" s="129">
        <v>0</v>
      </c>
    </row>
    <row r="57" spans="1:7" ht="14.4" x14ac:dyDescent="0.3">
      <c r="A57" s="151"/>
      <c r="B57" s="132"/>
      <c r="C57" s="146" t="s">
        <v>25</v>
      </c>
      <c r="D57" s="147">
        <f t="shared" ref="D57:G57" si="5">SUM(D55:D56)</f>
        <v>8000</v>
      </c>
      <c r="E57" s="148">
        <f t="shared" si="5"/>
        <v>8000</v>
      </c>
      <c r="F57" s="148">
        <f t="shared" si="5"/>
        <v>0</v>
      </c>
      <c r="G57" s="149">
        <f t="shared" si="5"/>
        <v>0</v>
      </c>
    </row>
    <row r="58" spans="1:7" ht="14.4" x14ac:dyDescent="0.3">
      <c r="A58" s="151"/>
      <c r="B58" s="132"/>
      <c r="C58" s="146"/>
      <c r="D58" s="147"/>
      <c r="E58" s="148"/>
      <c r="F58" s="148"/>
      <c r="G58" s="149"/>
    </row>
    <row r="59" spans="1:7" ht="14.4" x14ac:dyDescent="0.3">
      <c r="A59" s="62"/>
      <c r="B59" s="124"/>
      <c r="C59" s="141" t="s">
        <v>34</v>
      </c>
      <c r="D59" s="142">
        <f>D52+D57</f>
        <v>1098159</v>
      </c>
      <c r="E59" s="143">
        <f t="shared" ref="E59:G59" si="6">E52+E57</f>
        <v>1098159</v>
      </c>
      <c r="F59" s="143">
        <f t="shared" si="6"/>
        <v>0</v>
      </c>
      <c r="G59" s="144">
        <f t="shared" si="6"/>
        <v>0</v>
      </c>
    </row>
    <row r="60" spans="1:7" x14ac:dyDescent="0.3">
      <c r="A60" s="62"/>
      <c r="B60" s="152"/>
      <c r="C60" s="99"/>
      <c r="D60" s="87"/>
      <c r="E60" s="88"/>
      <c r="F60" s="88"/>
      <c r="G60" s="129"/>
    </row>
    <row r="61" spans="1:7" ht="13.8" x14ac:dyDescent="0.25">
      <c r="A61" s="62"/>
      <c r="B61" s="124" t="s">
        <v>13</v>
      </c>
      <c r="C61" s="99" t="s">
        <v>27</v>
      </c>
      <c r="D61" s="87"/>
      <c r="E61" s="88"/>
      <c r="F61" s="88"/>
      <c r="G61" s="129"/>
    </row>
    <row r="62" spans="1:7" ht="27.6" x14ac:dyDescent="0.25">
      <c r="A62" s="62"/>
      <c r="B62" s="124"/>
      <c r="C62" s="99" t="s">
        <v>32</v>
      </c>
      <c r="D62" s="65"/>
      <c r="E62" s="42"/>
      <c r="F62" s="42"/>
      <c r="G62" s="125"/>
    </row>
    <row r="63" spans="1:7" ht="13.8" x14ac:dyDescent="0.25">
      <c r="A63" s="62"/>
      <c r="B63" s="124"/>
      <c r="C63" s="99" t="s">
        <v>134</v>
      </c>
      <c r="D63" s="65">
        <v>558418</v>
      </c>
      <c r="E63" s="42">
        <v>558418</v>
      </c>
      <c r="F63" s="42">
        <v>0</v>
      </c>
      <c r="G63" s="125">
        <v>0</v>
      </c>
    </row>
    <row r="64" spans="1:7" ht="13.8" x14ac:dyDescent="0.25">
      <c r="A64" s="127"/>
      <c r="B64" s="128"/>
      <c r="C64" s="99" t="s">
        <v>135</v>
      </c>
      <c r="D64" s="65">
        <v>338519</v>
      </c>
      <c r="E64" s="42">
        <v>338519</v>
      </c>
      <c r="F64" s="88">
        <v>0</v>
      </c>
      <c r="G64" s="129">
        <v>0</v>
      </c>
    </row>
    <row r="65" spans="1:7" ht="13.8" x14ac:dyDescent="0.25">
      <c r="A65" s="127"/>
      <c r="B65" s="128"/>
      <c r="C65" s="99" t="s">
        <v>244</v>
      </c>
      <c r="D65" s="65">
        <v>492535</v>
      </c>
      <c r="E65" s="42">
        <v>492535</v>
      </c>
      <c r="F65" s="42"/>
      <c r="G65" s="129"/>
    </row>
    <row r="66" spans="1:7" ht="13.8" x14ac:dyDescent="0.25">
      <c r="A66" s="127"/>
      <c r="B66" s="128"/>
      <c r="C66" s="99" t="s">
        <v>245</v>
      </c>
      <c r="D66" s="65">
        <v>277645</v>
      </c>
      <c r="E66" s="42">
        <v>277645</v>
      </c>
      <c r="F66" s="42">
        <v>0</v>
      </c>
      <c r="G66" s="129">
        <v>0</v>
      </c>
    </row>
    <row r="67" spans="1:7" ht="13.8" x14ac:dyDescent="0.25">
      <c r="A67" s="127"/>
      <c r="B67" s="128"/>
      <c r="C67" s="99" t="s">
        <v>246</v>
      </c>
      <c r="D67" s="65">
        <v>52852</v>
      </c>
      <c r="E67" s="42">
        <v>52852</v>
      </c>
      <c r="F67" s="88">
        <v>0</v>
      </c>
      <c r="G67" s="129">
        <v>0</v>
      </c>
    </row>
    <row r="68" spans="1:7" ht="13.8" x14ac:dyDescent="0.25">
      <c r="A68" s="127"/>
      <c r="B68" s="128"/>
      <c r="C68" s="99"/>
      <c r="D68" s="87"/>
      <c r="E68" s="88"/>
      <c r="F68" s="88"/>
      <c r="G68" s="129"/>
    </row>
    <row r="69" spans="1:7" ht="13.8" x14ac:dyDescent="0.25">
      <c r="A69" s="62"/>
      <c r="B69" s="124"/>
      <c r="C69" s="146" t="s">
        <v>25</v>
      </c>
      <c r="D69" s="72">
        <f>SUM(D63:D68)</f>
        <v>1719969</v>
      </c>
      <c r="E69" s="73">
        <f>SUM(E63:E68)</f>
        <v>1719969</v>
      </c>
      <c r="F69" s="73">
        <f>SUM(F63:F68)</f>
        <v>0</v>
      </c>
      <c r="G69" s="134">
        <f>SUM(G63:G68)</f>
        <v>0</v>
      </c>
    </row>
    <row r="70" spans="1:7" ht="13.8" x14ac:dyDescent="0.25">
      <c r="A70" s="62"/>
      <c r="B70" s="124"/>
      <c r="C70" s="99"/>
      <c r="D70" s="65"/>
      <c r="E70" s="42"/>
      <c r="F70" s="42"/>
      <c r="G70" s="125"/>
    </row>
    <row r="71" spans="1:7" ht="14.4" x14ac:dyDescent="0.3">
      <c r="A71" s="62"/>
      <c r="B71" s="124"/>
      <c r="C71" s="141" t="s">
        <v>35</v>
      </c>
      <c r="D71" s="142">
        <f>D69</f>
        <v>1719969</v>
      </c>
      <c r="E71" s="143">
        <f t="shared" ref="E71:G71" si="7">E69</f>
        <v>1719969</v>
      </c>
      <c r="F71" s="143">
        <f t="shared" si="7"/>
        <v>0</v>
      </c>
      <c r="G71" s="144">
        <f t="shared" si="7"/>
        <v>0</v>
      </c>
    </row>
    <row r="72" spans="1:7" ht="13.8" x14ac:dyDescent="0.25">
      <c r="A72" s="62"/>
      <c r="B72" s="124"/>
      <c r="C72" s="99"/>
      <c r="D72" s="87"/>
      <c r="E72" s="88"/>
      <c r="F72" s="88"/>
      <c r="G72" s="129"/>
    </row>
    <row r="73" spans="1:7" ht="13.8" x14ac:dyDescent="0.25">
      <c r="A73" s="62"/>
      <c r="B73" s="124" t="s">
        <v>9</v>
      </c>
      <c r="C73" s="99" t="s">
        <v>63</v>
      </c>
      <c r="D73" s="87"/>
      <c r="E73" s="88"/>
      <c r="F73" s="88"/>
      <c r="G73" s="129"/>
    </row>
    <row r="74" spans="1:7" ht="13.8" x14ac:dyDescent="0.25">
      <c r="A74" s="62"/>
      <c r="B74" s="124"/>
      <c r="C74" s="99" t="s">
        <v>14</v>
      </c>
      <c r="D74" s="87"/>
      <c r="E74" s="88"/>
      <c r="F74" s="88"/>
      <c r="G74" s="129"/>
    </row>
    <row r="75" spans="1:7" ht="13.8" x14ac:dyDescent="0.25">
      <c r="A75" s="127"/>
      <c r="B75" s="128"/>
      <c r="C75" s="99" t="s">
        <v>124</v>
      </c>
      <c r="D75" s="42">
        <v>306251</v>
      </c>
      <c r="E75" s="42">
        <v>306251</v>
      </c>
      <c r="F75" s="88">
        <v>0</v>
      </c>
      <c r="G75" s="129">
        <v>0</v>
      </c>
    </row>
    <row r="76" spans="1:7" ht="13.8" x14ac:dyDescent="0.25">
      <c r="A76" s="127"/>
      <c r="B76" s="128"/>
      <c r="C76" s="99" t="s">
        <v>89</v>
      </c>
      <c r="D76" s="42"/>
      <c r="E76" s="42"/>
      <c r="F76" s="88"/>
      <c r="G76" s="129"/>
    </row>
    <row r="77" spans="1:7" ht="13.8" x14ac:dyDescent="0.25">
      <c r="A77" s="127"/>
      <c r="B77" s="128"/>
      <c r="C77" s="99" t="s">
        <v>90</v>
      </c>
      <c r="D77" s="42"/>
      <c r="E77" s="42"/>
      <c r="F77" s="88"/>
      <c r="G77" s="129"/>
    </row>
    <row r="78" spans="1:7" ht="13.8" x14ac:dyDescent="0.25">
      <c r="A78" s="127"/>
      <c r="B78" s="128"/>
      <c r="C78" s="99" t="s">
        <v>91</v>
      </c>
      <c r="D78" s="42">
        <v>26000</v>
      </c>
      <c r="E78" s="42">
        <v>26000</v>
      </c>
      <c r="F78" s="88">
        <v>0</v>
      </c>
      <c r="G78" s="129">
        <v>0</v>
      </c>
    </row>
    <row r="79" spans="1:7" ht="13.8" x14ac:dyDescent="0.25">
      <c r="A79" s="127"/>
      <c r="B79" s="128"/>
      <c r="C79" s="99" t="s">
        <v>92</v>
      </c>
      <c r="D79" s="42">
        <v>56000</v>
      </c>
      <c r="E79" s="42">
        <v>56000</v>
      </c>
      <c r="F79" s="88">
        <v>0</v>
      </c>
      <c r="G79" s="129">
        <v>0</v>
      </c>
    </row>
    <row r="80" spans="1:7" ht="13.8" x14ac:dyDescent="0.25">
      <c r="A80" s="127"/>
      <c r="B80" s="128"/>
      <c r="C80" s="99"/>
      <c r="D80" s="42"/>
      <c r="E80" s="42"/>
      <c r="F80" s="88"/>
      <c r="G80" s="129"/>
    </row>
    <row r="81" spans="1:7" ht="14.4" x14ac:dyDescent="0.3">
      <c r="A81" s="154"/>
      <c r="B81" s="155"/>
      <c r="C81" s="141" t="s">
        <v>36</v>
      </c>
      <c r="D81" s="85">
        <f>SUM(D75:D80)</f>
        <v>388251</v>
      </c>
      <c r="E81" s="85">
        <f t="shared" ref="E81:G81" si="8">SUM(E75:E80)</f>
        <v>388251</v>
      </c>
      <c r="F81" s="143">
        <f t="shared" si="8"/>
        <v>0</v>
      </c>
      <c r="G81" s="144">
        <f t="shared" si="8"/>
        <v>0</v>
      </c>
    </row>
    <row r="82" spans="1:7" ht="13.8" x14ac:dyDescent="0.25">
      <c r="A82" s="127"/>
      <c r="B82" s="128"/>
      <c r="C82" s="99"/>
      <c r="D82" s="87"/>
      <c r="E82" s="88"/>
      <c r="F82" s="88"/>
      <c r="G82" s="129"/>
    </row>
    <row r="83" spans="1:7" ht="13.8" x14ac:dyDescent="0.25">
      <c r="A83" s="127"/>
      <c r="B83" s="156" t="s">
        <v>15</v>
      </c>
      <c r="C83" s="99" t="s">
        <v>143</v>
      </c>
      <c r="D83" s="87"/>
      <c r="E83" s="88"/>
      <c r="F83" s="88"/>
      <c r="G83" s="129"/>
    </row>
    <row r="84" spans="1:7" ht="13.8" x14ac:dyDescent="0.25">
      <c r="A84" s="127"/>
      <c r="B84" s="128"/>
      <c r="C84" s="99" t="s">
        <v>144</v>
      </c>
      <c r="D84" s="87"/>
      <c r="E84" s="88"/>
      <c r="F84" s="88"/>
      <c r="G84" s="129"/>
    </row>
    <row r="85" spans="1:7" ht="27.6" x14ac:dyDescent="0.25">
      <c r="A85" s="127"/>
      <c r="B85" s="128"/>
      <c r="C85" s="99" t="s">
        <v>128</v>
      </c>
      <c r="D85" s="42">
        <v>40751</v>
      </c>
      <c r="E85" s="42">
        <v>40751</v>
      </c>
      <c r="F85" s="88">
        <v>0</v>
      </c>
      <c r="G85" s="129">
        <v>0</v>
      </c>
    </row>
    <row r="86" spans="1:7" ht="14.4" x14ac:dyDescent="0.3">
      <c r="A86" s="151"/>
      <c r="B86" s="124"/>
      <c r="C86" s="99" t="s">
        <v>125</v>
      </c>
      <c r="D86" s="87">
        <v>9229</v>
      </c>
      <c r="E86" s="88">
        <v>0</v>
      </c>
      <c r="F86" s="88">
        <v>9229</v>
      </c>
      <c r="G86" s="129">
        <v>0</v>
      </c>
    </row>
    <row r="87" spans="1:7" ht="14.4" x14ac:dyDescent="0.3">
      <c r="A87" s="151"/>
      <c r="B87" s="124"/>
      <c r="C87" s="99" t="s">
        <v>126</v>
      </c>
      <c r="D87" s="87">
        <v>405</v>
      </c>
      <c r="E87" s="88">
        <v>405</v>
      </c>
      <c r="F87" s="88">
        <v>0</v>
      </c>
      <c r="G87" s="129">
        <v>0</v>
      </c>
    </row>
    <row r="88" spans="1:7" ht="14.4" x14ac:dyDescent="0.3">
      <c r="A88" s="151"/>
      <c r="B88" s="124"/>
      <c r="C88" s="99" t="s">
        <v>93</v>
      </c>
      <c r="D88" s="87"/>
      <c r="E88" s="88"/>
      <c r="F88" s="88"/>
      <c r="G88" s="129"/>
    </row>
    <row r="89" spans="1:7" ht="14.4" x14ac:dyDescent="0.3">
      <c r="A89" s="151"/>
      <c r="B89" s="124"/>
      <c r="C89" s="99" t="s">
        <v>94</v>
      </c>
      <c r="D89" s="87">
        <v>15169</v>
      </c>
      <c r="E89" s="88">
        <v>15169</v>
      </c>
      <c r="F89" s="88">
        <v>0</v>
      </c>
      <c r="G89" s="129">
        <v>0</v>
      </c>
    </row>
    <row r="90" spans="1:7" ht="14.4" x14ac:dyDescent="0.3">
      <c r="A90" s="151"/>
      <c r="B90" s="124"/>
      <c r="C90" s="99" t="s">
        <v>95</v>
      </c>
      <c r="D90" s="87">
        <v>2907</v>
      </c>
      <c r="E90" s="88">
        <v>2907</v>
      </c>
      <c r="F90" s="88">
        <v>0</v>
      </c>
      <c r="G90" s="129">
        <v>0</v>
      </c>
    </row>
    <row r="91" spans="1:7" ht="14.4" x14ac:dyDescent="0.3">
      <c r="A91" s="151"/>
      <c r="B91" s="124"/>
      <c r="C91" s="102" t="s">
        <v>96</v>
      </c>
      <c r="D91" s="87">
        <v>2502</v>
      </c>
      <c r="E91" s="88">
        <v>2502</v>
      </c>
      <c r="F91" s="88">
        <v>0</v>
      </c>
      <c r="G91" s="129">
        <v>0</v>
      </c>
    </row>
    <row r="92" spans="1:7" ht="28.2" x14ac:dyDescent="0.3">
      <c r="A92" s="151"/>
      <c r="B92" s="124"/>
      <c r="C92" s="99" t="s">
        <v>146</v>
      </c>
      <c r="D92" s="87">
        <v>1478</v>
      </c>
      <c r="E92" s="88">
        <v>1478</v>
      </c>
      <c r="F92" s="88">
        <v>0</v>
      </c>
      <c r="G92" s="129">
        <v>0</v>
      </c>
    </row>
    <row r="93" spans="1:7" ht="14.4" x14ac:dyDescent="0.3">
      <c r="A93" s="151"/>
      <c r="B93" s="124"/>
      <c r="C93" s="102" t="s">
        <v>147</v>
      </c>
      <c r="D93" s="87">
        <v>1838</v>
      </c>
      <c r="E93" s="88">
        <v>1838</v>
      </c>
      <c r="F93" s="88">
        <v>0</v>
      </c>
      <c r="G93" s="129">
        <v>0</v>
      </c>
    </row>
    <row r="94" spans="1:7" ht="14.4" x14ac:dyDescent="0.3">
      <c r="A94" s="151"/>
      <c r="B94" s="124"/>
      <c r="C94" s="153" t="s">
        <v>184</v>
      </c>
      <c r="D94" s="87">
        <v>1278</v>
      </c>
      <c r="E94" s="88">
        <v>0</v>
      </c>
      <c r="F94" s="88">
        <v>1278</v>
      </c>
      <c r="G94" s="129">
        <v>0</v>
      </c>
    </row>
    <row r="95" spans="1:7" ht="14.4" x14ac:dyDescent="0.3">
      <c r="A95" s="151"/>
      <c r="B95" s="124"/>
      <c r="C95" s="99" t="s">
        <v>175</v>
      </c>
      <c r="D95" s="87">
        <v>6264</v>
      </c>
      <c r="E95" s="88">
        <v>0</v>
      </c>
      <c r="F95" s="88">
        <v>6264</v>
      </c>
      <c r="G95" s="129">
        <v>0</v>
      </c>
    </row>
    <row r="96" spans="1:7" ht="13.8" x14ac:dyDescent="0.25">
      <c r="A96" s="127"/>
      <c r="B96" s="128"/>
      <c r="C96" s="99" t="s">
        <v>176</v>
      </c>
      <c r="D96" s="87">
        <v>300</v>
      </c>
      <c r="E96" s="88">
        <v>0</v>
      </c>
      <c r="F96" s="88">
        <v>0</v>
      </c>
      <c r="G96" s="129">
        <v>300</v>
      </c>
    </row>
    <row r="97" spans="1:7" ht="14.4" x14ac:dyDescent="0.3">
      <c r="A97" s="151"/>
      <c r="B97" s="124"/>
      <c r="C97" s="99" t="s">
        <v>885</v>
      </c>
      <c r="D97" s="87">
        <v>477</v>
      </c>
      <c r="E97" s="88">
        <v>477</v>
      </c>
      <c r="F97" s="88">
        <v>0</v>
      </c>
      <c r="G97" s="89">
        <v>0</v>
      </c>
    </row>
    <row r="98" spans="1:7" ht="14.4" x14ac:dyDescent="0.3">
      <c r="A98" s="151"/>
      <c r="B98" s="124"/>
      <c r="C98" s="99" t="s">
        <v>886</v>
      </c>
      <c r="D98" s="87">
        <v>1504</v>
      </c>
      <c r="E98" s="88">
        <v>1504</v>
      </c>
      <c r="F98" s="88">
        <v>0</v>
      </c>
      <c r="G98" s="89">
        <v>0</v>
      </c>
    </row>
    <row r="99" spans="1:7" ht="14.4" x14ac:dyDescent="0.3">
      <c r="A99" s="151"/>
      <c r="B99" s="124"/>
      <c r="C99" s="99" t="s">
        <v>887</v>
      </c>
      <c r="D99" s="87">
        <v>47834</v>
      </c>
      <c r="E99" s="88">
        <v>47834</v>
      </c>
      <c r="F99" s="88">
        <v>0</v>
      </c>
      <c r="G99" s="89">
        <v>0</v>
      </c>
    </row>
    <row r="100" spans="1:7" ht="14.4" x14ac:dyDescent="0.3">
      <c r="A100" s="151"/>
      <c r="B100" s="124"/>
      <c r="C100" s="153" t="s">
        <v>186</v>
      </c>
      <c r="D100" s="87">
        <f>2000+1000</f>
        <v>3000</v>
      </c>
      <c r="E100" s="88">
        <v>3000</v>
      </c>
      <c r="F100" s="88">
        <v>0</v>
      </c>
      <c r="G100" s="89">
        <v>0</v>
      </c>
    </row>
    <row r="101" spans="1:7" ht="14.4" x14ac:dyDescent="0.3">
      <c r="A101" s="151"/>
      <c r="B101" s="124"/>
      <c r="C101" s="153" t="s">
        <v>201</v>
      </c>
      <c r="D101" s="87">
        <v>2640</v>
      </c>
      <c r="E101" s="88">
        <v>2640</v>
      </c>
      <c r="F101" s="88">
        <v>0</v>
      </c>
      <c r="G101" s="89">
        <v>0</v>
      </c>
    </row>
    <row r="102" spans="1:7" ht="14.4" x14ac:dyDescent="0.3">
      <c r="A102" s="151"/>
      <c r="B102" s="124"/>
      <c r="C102" s="99"/>
      <c r="D102" s="87"/>
      <c r="E102" s="88"/>
      <c r="F102" s="88"/>
      <c r="G102" s="89"/>
    </row>
    <row r="103" spans="1:7" ht="14.4" x14ac:dyDescent="0.3">
      <c r="A103" s="151"/>
      <c r="B103" s="124"/>
      <c r="C103" s="146" t="s">
        <v>25</v>
      </c>
      <c r="D103" s="72">
        <f>SUM(D85:D102)</f>
        <v>137576</v>
      </c>
      <c r="E103" s="73">
        <f>SUM(E85:E102)</f>
        <v>120505</v>
      </c>
      <c r="F103" s="73">
        <f>SUM(F85:F102)</f>
        <v>16771</v>
      </c>
      <c r="G103" s="74">
        <f>SUM(G85:G102)</f>
        <v>300</v>
      </c>
    </row>
    <row r="104" spans="1:7" ht="14.4" x14ac:dyDescent="0.3">
      <c r="A104" s="151"/>
      <c r="B104" s="132"/>
      <c r="C104" s="146"/>
      <c r="D104" s="147"/>
      <c r="E104" s="148"/>
      <c r="F104" s="148"/>
      <c r="G104" s="150"/>
    </row>
    <row r="105" spans="1:7" x14ac:dyDescent="0.3">
      <c r="A105" s="151"/>
      <c r="B105" s="157"/>
      <c r="C105" s="99" t="s">
        <v>145</v>
      </c>
      <c r="D105" s="87"/>
      <c r="E105" s="88"/>
      <c r="F105" s="88"/>
      <c r="G105" s="89"/>
    </row>
    <row r="106" spans="1:7" ht="13.8" x14ac:dyDescent="0.25">
      <c r="A106" s="62"/>
      <c r="B106" s="132"/>
      <c r="C106" s="99" t="s">
        <v>177</v>
      </c>
      <c r="D106" s="65">
        <v>5000</v>
      </c>
      <c r="E106" s="42">
        <v>5000</v>
      </c>
      <c r="F106" s="42">
        <v>0</v>
      </c>
      <c r="G106" s="66">
        <v>0</v>
      </c>
    </row>
    <row r="107" spans="1:7" ht="13.8" x14ac:dyDescent="0.25">
      <c r="A107" s="62"/>
      <c r="B107" s="132"/>
      <c r="C107" s="99" t="s">
        <v>178</v>
      </c>
      <c r="D107" s="65">
        <v>11000</v>
      </c>
      <c r="E107" s="42">
        <v>11000</v>
      </c>
      <c r="F107" s="42">
        <v>0</v>
      </c>
      <c r="G107" s="66">
        <v>0</v>
      </c>
    </row>
    <row r="108" spans="1:7" ht="27.6" x14ac:dyDescent="0.25">
      <c r="A108" s="62"/>
      <c r="B108" s="132"/>
      <c r="C108" s="99" t="s">
        <v>187</v>
      </c>
      <c r="D108" s="65">
        <v>136000</v>
      </c>
      <c r="E108" s="42">
        <v>136000</v>
      </c>
      <c r="F108" s="42">
        <v>0</v>
      </c>
      <c r="G108" s="66">
        <v>0</v>
      </c>
    </row>
    <row r="109" spans="1:7" ht="27.6" x14ac:dyDescent="0.25">
      <c r="A109" s="62"/>
      <c r="B109" s="132"/>
      <c r="C109" s="99" t="s">
        <v>188</v>
      </c>
      <c r="D109" s="87">
        <v>30342</v>
      </c>
      <c r="E109" s="88">
        <v>30342</v>
      </c>
      <c r="F109" s="88">
        <v>0</v>
      </c>
      <c r="G109" s="89">
        <v>0</v>
      </c>
    </row>
    <row r="110" spans="1:7" ht="13.8" x14ac:dyDescent="0.25">
      <c r="A110" s="62"/>
      <c r="B110" s="132"/>
      <c r="C110" s="99" t="s">
        <v>888</v>
      </c>
      <c r="D110" s="87">
        <v>603</v>
      </c>
      <c r="E110" s="88">
        <v>603</v>
      </c>
      <c r="F110" s="88">
        <v>0</v>
      </c>
      <c r="G110" s="89">
        <v>0</v>
      </c>
    </row>
    <row r="111" spans="1:7" ht="27.6" x14ac:dyDescent="0.25">
      <c r="A111" s="62"/>
      <c r="B111" s="132"/>
      <c r="C111" s="99" t="s">
        <v>889</v>
      </c>
      <c r="D111" s="87">
        <v>28706</v>
      </c>
      <c r="E111" s="88">
        <v>28706</v>
      </c>
      <c r="F111" s="88">
        <v>0</v>
      </c>
      <c r="G111" s="89">
        <v>0</v>
      </c>
    </row>
    <row r="112" spans="1:7" ht="13.8" x14ac:dyDescent="0.25">
      <c r="A112" s="62"/>
      <c r="B112" s="132"/>
      <c r="C112" s="99" t="s">
        <v>890</v>
      </c>
      <c r="D112" s="87"/>
      <c r="E112" s="88"/>
      <c r="F112" s="88"/>
      <c r="G112" s="89"/>
    </row>
    <row r="113" spans="1:7" ht="27.6" x14ac:dyDescent="0.25">
      <c r="A113" s="62"/>
      <c r="B113" s="132"/>
      <c r="C113" s="99" t="s">
        <v>891</v>
      </c>
      <c r="D113" s="87">
        <v>9132</v>
      </c>
      <c r="E113" s="88">
        <v>9132</v>
      </c>
      <c r="F113" s="88">
        <v>0</v>
      </c>
      <c r="G113" s="89">
        <v>0</v>
      </c>
    </row>
    <row r="114" spans="1:7" ht="27.6" x14ac:dyDescent="0.25">
      <c r="A114" s="62"/>
      <c r="B114" s="132"/>
      <c r="C114" s="99" t="s">
        <v>892</v>
      </c>
      <c r="D114" s="87">
        <v>20540</v>
      </c>
      <c r="E114" s="88">
        <v>20540</v>
      </c>
      <c r="F114" s="88">
        <v>0</v>
      </c>
      <c r="G114" s="89">
        <v>0</v>
      </c>
    </row>
    <row r="115" spans="1:7" ht="27.6" x14ac:dyDescent="0.25">
      <c r="A115" s="62"/>
      <c r="B115" s="132"/>
      <c r="C115" s="99" t="s">
        <v>893</v>
      </c>
      <c r="D115" s="87">
        <v>22348</v>
      </c>
      <c r="E115" s="88">
        <v>22348</v>
      </c>
      <c r="F115" s="88">
        <v>0</v>
      </c>
      <c r="G115" s="89">
        <v>0</v>
      </c>
    </row>
    <row r="116" spans="1:7" ht="13.8" x14ac:dyDescent="0.25">
      <c r="A116" s="62"/>
      <c r="B116" s="132"/>
      <c r="C116" s="99"/>
      <c r="D116" s="65"/>
      <c r="E116" s="42"/>
      <c r="F116" s="42"/>
      <c r="G116" s="66"/>
    </row>
    <row r="117" spans="1:7" ht="13.8" x14ac:dyDescent="0.25">
      <c r="A117" s="62"/>
      <c r="B117" s="132"/>
      <c r="C117" s="146" t="s">
        <v>25</v>
      </c>
      <c r="D117" s="147">
        <f>SUM(D106:D116)</f>
        <v>263671</v>
      </c>
      <c r="E117" s="148">
        <f>SUM(E106:E116)</f>
        <v>263671</v>
      </c>
      <c r="F117" s="148">
        <f>SUM(F106:F116)</f>
        <v>0</v>
      </c>
      <c r="G117" s="150">
        <f>SUM(G106:G116)</f>
        <v>0</v>
      </c>
    </row>
    <row r="118" spans="1:7" ht="13.8" x14ac:dyDescent="0.25">
      <c r="A118" s="62"/>
      <c r="B118" s="132"/>
      <c r="C118" s="146"/>
      <c r="D118" s="147"/>
      <c r="E118" s="148"/>
      <c r="F118" s="148"/>
      <c r="G118" s="150"/>
    </row>
    <row r="119" spans="1:7" ht="14.4" x14ac:dyDescent="0.3">
      <c r="A119" s="151"/>
      <c r="B119" s="132"/>
      <c r="C119" s="141" t="s">
        <v>53</v>
      </c>
      <c r="D119" s="142">
        <f>D103+D117</f>
        <v>401247</v>
      </c>
      <c r="E119" s="143">
        <f>E103+E117</f>
        <v>384176</v>
      </c>
      <c r="F119" s="143">
        <f>F103+F117</f>
        <v>16771</v>
      </c>
      <c r="G119" s="145">
        <f>G103+G117</f>
        <v>300</v>
      </c>
    </row>
    <row r="120" spans="1:7" ht="14.4" x14ac:dyDescent="0.3">
      <c r="A120" s="151"/>
      <c r="B120" s="132"/>
      <c r="C120" s="141"/>
      <c r="D120" s="142"/>
      <c r="E120" s="143"/>
      <c r="F120" s="143"/>
      <c r="G120" s="145"/>
    </row>
    <row r="121" spans="1:7" ht="14.4" x14ac:dyDescent="0.3">
      <c r="A121" s="151"/>
      <c r="B121" s="124" t="s">
        <v>18</v>
      </c>
      <c r="C121" s="99" t="s">
        <v>55</v>
      </c>
      <c r="D121" s="87"/>
      <c r="E121" s="88"/>
      <c r="F121" s="88"/>
      <c r="G121" s="89"/>
    </row>
    <row r="122" spans="1:7" ht="14.4" x14ac:dyDescent="0.3">
      <c r="A122" s="151"/>
      <c r="B122" s="158"/>
      <c r="C122" s="99" t="s">
        <v>68</v>
      </c>
      <c r="D122" s="87"/>
      <c r="E122" s="88"/>
      <c r="F122" s="88"/>
      <c r="G122" s="89"/>
    </row>
    <row r="123" spans="1:7" ht="14.4" x14ac:dyDescent="0.3">
      <c r="A123" s="151"/>
      <c r="B123" s="158"/>
      <c r="C123" s="153" t="s">
        <v>189</v>
      </c>
      <c r="D123" s="87">
        <v>2500</v>
      </c>
      <c r="E123" s="88">
        <v>2500</v>
      </c>
      <c r="F123" s="88">
        <v>0</v>
      </c>
      <c r="G123" s="89">
        <v>0</v>
      </c>
    </row>
    <row r="124" spans="1:7" ht="14.4" x14ac:dyDescent="0.3">
      <c r="A124" s="151"/>
      <c r="B124" s="158"/>
      <c r="C124" s="153" t="s">
        <v>190</v>
      </c>
      <c r="D124" s="87">
        <v>2260</v>
      </c>
      <c r="E124" s="88">
        <v>2260</v>
      </c>
      <c r="F124" s="88">
        <v>0</v>
      </c>
      <c r="G124" s="89">
        <v>0</v>
      </c>
    </row>
    <row r="125" spans="1:7" ht="14.4" x14ac:dyDescent="0.3">
      <c r="A125" s="151"/>
      <c r="B125" s="158"/>
      <c r="C125" s="99"/>
      <c r="D125" s="65"/>
      <c r="E125" s="42"/>
      <c r="F125" s="88"/>
      <c r="G125" s="89"/>
    </row>
    <row r="126" spans="1:7" x14ac:dyDescent="0.3">
      <c r="A126" s="159"/>
      <c r="B126" s="132"/>
      <c r="C126" s="146" t="s">
        <v>25</v>
      </c>
      <c r="D126" s="147">
        <f>SUM(D123:D125)</f>
        <v>4760</v>
      </c>
      <c r="E126" s="148">
        <f>SUM(E123:E125)</f>
        <v>4760</v>
      </c>
      <c r="F126" s="148">
        <f>SUM(F123:F125)</f>
        <v>0</v>
      </c>
      <c r="G126" s="150">
        <f>SUM(G123:G125)</f>
        <v>0</v>
      </c>
    </row>
    <row r="127" spans="1:7" ht="13.8" x14ac:dyDescent="0.25">
      <c r="A127" s="97"/>
      <c r="B127" s="124"/>
      <c r="C127" s="99"/>
      <c r="D127" s="87"/>
      <c r="E127" s="88"/>
      <c r="F127" s="88"/>
      <c r="G127" s="89"/>
    </row>
    <row r="128" spans="1:7" ht="13.8" x14ac:dyDescent="0.25">
      <c r="A128" s="97"/>
      <c r="B128" s="124"/>
      <c r="C128" s="99" t="s">
        <v>69</v>
      </c>
      <c r="D128" s="87"/>
      <c r="E128" s="88"/>
      <c r="F128" s="88"/>
      <c r="G128" s="89"/>
    </row>
    <row r="129" spans="1:7" ht="13.8" x14ac:dyDescent="0.25">
      <c r="A129" s="97"/>
      <c r="B129" s="124"/>
      <c r="C129" s="99" t="s">
        <v>182</v>
      </c>
      <c r="D129" s="87">
        <v>400</v>
      </c>
      <c r="E129" s="88">
        <v>400</v>
      </c>
      <c r="F129" s="88">
        <v>0</v>
      </c>
      <c r="G129" s="89">
        <v>0</v>
      </c>
    </row>
    <row r="130" spans="1:7" ht="14.4" x14ac:dyDescent="0.3">
      <c r="A130" s="62"/>
      <c r="B130" s="158"/>
      <c r="C130" s="99"/>
      <c r="D130" s="87"/>
      <c r="E130" s="88"/>
      <c r="F130" s="88"/>
      <c r="G130" s="89"/>
    </row>
    <row r="131" spans="1:7" ht="13.8" x14ac:dyDescent="0.25">
      <c r="A131" s="62"/>
      <c r="B131" s="131"/>
      <c r="C131" s="146" t="s">
        <v>25</v>
      </c>
      <c r="D131" s="147">
        <f t="shared" ref="D131:G131" si="9">SUM(D129:D130)</f>
        <v>400</v>
      </c>
      <c r="E131" s="148">
        <f t="shared" si="9"/>
        <v>400</v>
      </c>
      <c r="F131" s="148">
        <f t="shared" si="9"/>
        <v>0</v>
      </c>
      <c r="G131" s="150">
        <f t="shared" si="9"/>
        <v>0</v>
      </c>
    </row>
    <row r="132" spans="1:7" ht="13.8" x14ac:dyDescent="0.25">
      <c r="A132" s="62"/>
      <c r="B132" s="131"/>
      <c r="C132" s="146"/>
      <c r="D132" s="147"/>
      <c r="E132" s="148"/>
      <c r="F132" s="148"/>
      <c r="G132" s="150"/>
    </row>
    <row r="133" spans="1:7" ht="14.4" x14ac:dyDescent="0.3">
      <c r="A133" s="62"/>
      <c r="B133" s="131"/>
      <c r="C133" s="141" t="s">
        <v>59</v>
      </c>
      <c r="D133" s="142">
        <f t="shared" ref="D133:G133" si="10">D126+D131</f>
        <v>5160</v>
      </c>
      <c r="E133" s="143">
        <f t="shared" si="10"/>
        <v>5160</v>
      </c>
      <c r="F133" s="143">
        <f t="shared" si="10"/>
        <v>0</v>
      </c>
      <c r="G133" s="145">
        <f t="shared" si="10"/>
        <v>0</v>
      </c>
    </row>
    <row r="134" spans="1:7" ht="13.8" x14ac:dyDescent="0.25">
      <c r="A134" s="62"/>
      <c r="B134" s="131"/>
      <c r="C134" s="146"/>
      <c r="D134" s="147"/>
      <c r="E134" s="148"/>
      <c r="F134" s="148"/>
      <c r="G134" s="150"/>
    </row>
    <row r="135" spans="1:7" ht="13.8" x14ac:dyDescent="0.25">
      <c r="A135" s="62"/>
      <c r="B135" s="124" t="s">
        <v>20</v>
      </c>
      <c r="C135" s="99" t="s">
        <v>2</v>
      </c>
      <c r="D135" s="87"/>
      <c r="E135" s="88"/>
      <c r="F135" s="88"/>
      <c r="G135" s="89"/>
    </row>
    <row r="136" spans="1:7" ht="13.8" x14ac:dyDescent="0.25">
      <c r="A136" s="62"/>
      <c r="B136" s="131"/>
      <c r="C136" s="99" t="s">
        <v>57</v>
      </c>
      <c r="D136" s="87"/>
      <c r="E136" s="88"/>
      <c r="F136" s="88"/>
      <c r="G136" s="89"/>
    </row>
    <row r="137" spans="1:7" ht="13.8" x14ac:dyDescent="0.25">
      <c r="A137" s="62"/>
      <c r="B137" s="131"/>
      <c r="C137" s="99" t="s">
        <v>97</v>
      </c>
      <c r="D137" s="87">
        <v>300</v>
      </c>
      <c r="E137" s="88">
        <v>300</v>
      </c>
      <c r="F137" s="88">
        <v>0</v>
      </c>
      <c r="G137" s="89">
        <v>0</v>
      </c>
    </row>
    <row r="138" spans="1:7" ht="13.8" x14ac:dyDescent="0.25">
      <c r="A138" s="29"/>
      <c r="B138" s="160"/>
      <c r="C138" s="99"/>
      <c r="D138" s="87"/>
      <c r="E138" s="88"/>
      <c r="F138" s="88"/>
      <c r="G138" s="89"/>
    </row>
    <row r="139" spans="1:7" ht="13.8" x14ac:dyDescent="0.25">
      <c r="A139" s="29"/>
      <c r="B139" s="160"/>
      <c r="C139" s="146" t="s">
        <v>25</v>
      </c>
      <c r="D139" s="147">
        <f>SUM(D137:D138)</f>
        <v>300</v>
      </c>
      <c r="E139" s="148">
        <f>SUM(E137:E138)</f>
        <v>300</v>
      </c>
      <c r="F139" s="148">
        <f>SUM(F137:F137)</f>
        <v>0</v>
      </c>
      <c r="G139" s="150">
        <f>SUM(G137:G137)</f>
        <v>0</v>
      </c>
    </row>
    <row r="140" spans="1:7" x14ac:dyDescent="0.3">
      <c r="B140" s="152"/>
      <c r="C140" s="162"/>
      <c r="D140" s="92"/>
      <c r="E140" s="43"/>
      <c r="F140" s="43"/>
      <c r="G140" s="93"/>
    </row>
    <row r="141" spans="1:7" ht="13.8" x14ac:dyDescent="0.25">
      <c r="A141" s="62"/>
      <c r="B141" s="131"/>
      <c r="C141" s="99" t="s">
        <v>70</v>
      </c>
      <c r="D141" s="87"/>
      <c r="E141" s="88"/>
      <c r="F141" s="88"/>
      <c r="G141" s="89"/>
    </row>
    <row r="142" spans="1:7" ht="13.8" x14ac:dyDescent="0.25">
      <c r="A142" s="62"/>
      <c r="B142" s="131"/>
      <c r="C142" s="99" t="s">
        <v>1</v>
      </c>
      <c r="D142" s="87">
        <v>4000</v>
      </c>
      <c r="E142" s="88">
        <v>4000</v>
      </c>
      <c r="F142" s="88">
        <v>0</v>
      </c>
      <c r="G142" s="90">
        <v>0</v>
      </c>
    </row>
    <row r="143" spans="1:7" ht="13.8" x14ac:dyDescent="0.25">
      <c r="A143" s="62"/>
      <c r="B143" s="131"/>
      <c r="C143" s="99" t="s">
        <v>203</v>
      </c>
      <c r="D143" s="87">
        <v>19000</v>
      </c>
      <c r="E143" s="88">
        <v>19000</v>
      </c>
      <c r="F143" s="88">
        <v>0</v>
      </c>
      <c r="G143" s="90">
        <v>0</v>
      </c>
    </row>
    <row r="144" spans="1:7" ht="13.8" x14ac:dyDescent="0.25">
      <c r="A144" s="62"/>
      <c r="B144" s="131"/>
      <c r="C144" s="99"/>
      <c r="D144" s="87"/>
      <c r="E144" s="88"/>
      <c r="F144" s="88"/>
      <c r="G144" s="89"/>
    </row>
    <row r="145" spans="1:7" ht="13.8" x14ac:dyDescent="0.25">
      <c r="A145" s="62"/>
      <c r="B145" s="131"/>
      <c r="C145" s="146" t="s">
        <v>25</v>
      </c>
      <c r="D145" s="147">
        <f>SUM(D142:D144)</f>
        <v>23000</v>
      </c>
      <c r="E145" s="148">
        <f t="shared" ref="E145:G145" si="11">SUM(E142:E144)</f>
        <v>23000</v>
      </c>
      <c r="F145" s="148">
        <f t="shared" si="11"/>
        <v>0</v>
      </c>
      <c r="G145" s="150">
        <f t="shared" si="11"/>
        <v>0</v>
      </c>
    </row>
    <row r="146" spans="1:7" ht="13.8" x14ac:dyDescent="0.25">
      <c r="A146" s="62"/>
      <c r="B146" s="131"/>
      <c r="C146" s="146"/>
      <c r="D146" s="147"/>
      <c r="E146" s="148"/>
      <c r="F146" s="148"/>
      <c r="G146" s="150"/>
    </row>
    <row r="147" spans="1:7" ht="14.4" x14ac:dyDescent="0.3">
      <c r="A147" s="62"/>
      <c r="B147" s="131"/>
      <c r="C147" s="141" t="s">
        <v>38</v>
      </c>
      <c r="D147" s="142">
        <f t="shared" ref="D147:G147" si="12">D145+D139</f>
        <v>23300</v>
      </c>
      <c r="E147" s="143">
        <f t="shared" si="12"/>
        <v>23300</v>
      </c>
      <c r="F147" s="143">
        <f t="shared" si="12"/>
        <v>0</v>
      </c>
      <c r="G147" s="145">
        <f t="shared" si="12"/>
        <v>0</v>
      </c>
    </row>
    <row r="148" spans="1:7" ht="13.8" x14ac:dyDescent="0.25">
      <c r="A148" s="62"/>
      <c r="B148" s="131"/>
      <c r="C148" s="99"/>
      <c r="D148" s="87"/>
      <c r="E148" s="88"/>
      <c r="F148" s="88"/>
      <c r="G148" s="89"/>
    </row>
    <row r="149" spans="1:7" ht="13.8" x14ac:dyDescent="0.25">
      <c r="A149" s="62"/>
      <c r="B149" s="131"/>
      <c r="C149" s="61" t="s">
        <v>11</v>
      </c>
      <c r="D149" s="135">
        <f t="shared" ref="D149:G149" si="13">D44+D59+D71+D81+D119+D133+D147</f>
        <v>3819970</v>
      </c>
      <c r="E149" s="136">
        <f t="shared" si="13"/>
        <v>3785699</v>
      </c>
      <c r="F149" s="136">
        <f t="shared" si="13"/>
        <v>33971</v>
      </c>
      <c r="G149" s="138">
        <f t="shared" si="13"/>
        <v>300</v>
      </c>
    </row>
    <row r="150" spans="1:7" ht="13.8" x14ac:dyDescent="0.25">
      <c r="A150" s="62"/>
      <c r="B150" s="131"/>
      <c r="C150" s="130"/>
      <c r="D150" s="57"/>
      <c r="E150" s="58"/>
      <c r="F150" s="58"/>
      <c r="G150" s="59"/>
    </row>
    <row r="151" spans="1:7" ht="13.8" x14ac:dyDescent="0.25">
      <c r="A151" s="62"/>
      <c r="B151" s="131"/>
      <c r="C151" s="130"/>
      <c r="D151" s="57"/>
      <c r="E151" s="58"/>
      <c r="F151" s="58"/>
      <c r="G151" s="59"/>
    </row>
    <row r="152" spans="1:7" ht="13.8" x14ac:dyDescent="0.25">
      <c r="A152" s="56" t="s">
        <v>16</v>
      </c>
      <c r="B152" s="163"/>
      <c r="C152" s="164"/>
      <c r="D152" s="165">
        <f>D28+D149</f>
        <v>3851654</v>
      </c>
      <c r="E152" s="166">
        <f>E28+E149</f>
        <v>3817383</v>
      </c>
      <c r="F152" s="166">
        <f>F28+F149</f>
        <v>33971</v>
      </c>
      <c r="G152" s="167">
        <f>G28+G149</f>
        <v>300</v>
      </c>
    </row>
    <row r="153" spans="1:7" ht="13.8" x14ac:dyDescent="0.25">
      <c r="A153" s="62"/>
      <c r="B153" s="168"/>
      <c r="C153" s="130"/>
      <c r="D153" s="57"/>
      <c r="E153" s="58"/>
      <c r="F153" s="58"/>
      <c r="G153" s="59"/>
    </row>
    <row r="154" spans="1:7" ht="13.8" x14ac:dyDescent="0.25">
      <c r="A154" s="62"/>
      <c r="B154" s="169" t="s">
        <v>28</v>
      </c>
      <c r="C154" s="170" t="s">
        <v>138</v>
      </c>
      <c r="D154" s="171"/>
      <c r="E154" s="172"/>
      <c r="F154" s="172"/>
      <c r="G154" s="173"/>
    </row>
    <row r="155" spans="1:7" ht="13.8" x14ac:dyDescent="0.25">
      <c r="A155" s="62"/>
      <c r="B155" s="174"/>
      <c r="C155" s="102" t="s">
        <v>132</v>
      </c>
      <c r="D155" s="65"/>
      <c r="E155" s="42"/>
      <c r="F155" s="42"/>
      <c r="G155" s="66"/>
    </row>
    <row r="156" spans="1:7" ht="13.8" x14ac:dyDescent="0.25">
      <c r="A156" s="70"/>
      <c r="B156" s="175"/>
      <c r="C156" s="102" t="s">
        <v>295</v>
      </c>
      <c r="D156" s="65">
        <v>905</v>
      </c>
      <c r="E156" s="42">
        <v>905</v>
      </c>
      <c r="F156" s="42">
        <v>0</v>
      </c>
      <c r="G156" s="66">
        <v>0</v>
      </c>
    </row>
    <row r="157" spans="1:7" ht="13.8" x14ac:dyDescent="0.25">
      <c r="A157" s="176"/>
      <c r="B157" s="175"/>
      <c r="C157" s="102" t="s">
        <v>293</v>
      </c>
      <c r="D157" s="65">
        <v>289</v>
      </c>
      <c r="E157" s="42">
        <v>289</v>
      </c>
      <c r="F157" s="42">
        <v>0</v>
      </c>
      <c r="G157" s="66">
        <v>0</v>
      </c>
    </row>
    <row r="158" spans="1:7" ht="13.8" x14ac:dyDescent="0.25">
      <c r="A158" s="70"/>
      <c r="B158" s="175"/>
      <c r="C158" s="102" t="s">
        <v>294</v>
      </c>
      <c r="D158" s="65">
        <v>0</v>
      </c>
      <c r="E158" s="42">
        <v>0</v>
      </c>
      <c r="F158" s="42">
        <v>0</v>
      </c>
      <c r="G158" s="66">
        <v>0</v>
      </c>
    </row>
    <row r="159" spans="1:7" ht="13.8" x14ac:dyDescent="0.25">
      <c r="A159" s="62"/>
      <c r="B159" s="174"/>
      <c r="C159" s="102" t="s">
        <v>894</v>
      </c>
      <c r="D159" s="65">
        <v>0</v>
      </c>
      <c r="E159" s="42">
        <v>0</v>
      </c>
      <c r="F159" s="42">
        <v>0</v>
      </c>
      <c r="G159" s="66">
        <v>0</v>
      </c>
    </row>
    <row r="160" spans="1:7" ht="13.8" x14ac:dyDescent="0.25">
      <c r="A160" s="70"/>
      <c r="B160" s="175"/>
      <c r="C160" s="133" t="s">
        <v>23</v>
      </c>
      <c r="D160" s="72">
        <f>SUM(D156:D159)</f>
        <v>1194</v>
      </c>
      <c r="E160" s="73">
        <f>SUM(E156:E159)</f>
        <v>1194</v>
      </c>
      <c r="F160" s="73">
        <f>SUM(F156:F159)</f>
        <v>0</v>
      </c>
      <c r="G160" s="74">
        <f>SUM(G156:G159)</f>
        <v>0</v>
      </c>
    </row>
    <row r="161" spans="1:7" ht="13.8" x14ac:dyDescent="0.25">
      <c r="A161" s="62"/>
      <c r="B161" s="174"/>
      <c r="C161" s="130"/>
      <c r="D161" s="57"/>
      <c r="E161" s="58"/>
      <c r="F161" s="58"/>
      <c r="G161" s="59"/>
    </row>
    <row r="162" spans="1:7" ht="13.8" x14ac:dyDescent="0.25">
      <c r="A162" s="62"/>
      <c r="B162" s="174"/>
      <c r="C162" s="102" t="s">
        <v>133</v>
      </c>
      <c r="D162" s="65"/>
      <c r="E162" s="42"/>
      <c r="F162" s="42"/>
      <c r="G162" s="66"/>
    </row>
    <row r="163" spans="1:7" ht="13.8" x14ac:dyDescent="0.25">
      <c r="A163" s="62"/>
      <c r="B163" s="168"/>
      <c r="C163" s="102" t="s">
        <v>296</v>
      </c>
      <c r="D163" s="65"/>
      <c r="E163" s="42"/>
      <c r="F163" s="42"/>
      <c r="G163" s="66"/>
    </row>
    <row r="164" spans="1:7" ht="13.8" x14ac:dyDescent="0.25">
      <c r="A164" s="62"/>
      <c r="B164" s="174"/>
      <c r="C164" s="99" t="s">
        <v>297</v>
      </c>
      <c r="D164" s="65"/>
      <c r="E164" s="42"/>
      <c r="F164" s="42"/>
      <c r="G164" s="66"/>
    </row>
    <row r="165" spans="1:7" ht="13.8" x14ac:dyDescent="0.25">
      <c r="A165" s="62"/>
      <c r="B165" s="174"/>
      <c r="C165" s="102" t="s">
        <v>298</v>
      </c>
      <c r="D165" s="65"/>
      <c r="E165" s="42"/>
      <c r="F165" s="42"/>
      <c r="G165" s="66"/>
    </row>
    <row r="166" spans="1:7" ht="13.8" x14ac:dyDescent="0.25">
      <c r="A166" s="62"/>
      <c r="B166" s="174"/>
      <c r="C166" s="102" t="s">
        <v>884</v>
      </c>
      <c r="D166" s="65">
        <v>1695790</v>
      </c>
      <c r="E166" s="42">
        <v>1695790</v>
      </c>
      <c r="F166" s="42">
        <v>0</v>
      </c>
      <c r="G166" s="66">
        <v>0</v>
      </c>
    </row>
    <row r="167" spans="1:7" ht="13.8" x14ac:dyDescent="0.25">
      <c r="A167" s="70"/>
      <c r="B167" s="175"/>
      <c r="C167" s="133" t="s">
        <v>23</v>
      </c>
      <c r="D167" s="72">
        <f>SUM(D163:D166)</f>
        <v>1695790</v>
      </c>
      <c r="E167" s="73">
        <f>SUM(E163:E166)</f>
        <v>1695790</v>
      </c>
      <c r="F167" s="73">
        <f>SUM(F163:F166)</f>
        <v>0</v>
      </c>
      <c r="G167" s="74">
        <f>SUM(G163:G166)</f>
        <v>0</v>
      </c>
    </row>
    <row r="168" spans="1:7" ht="13.8" x14ac:dyDescent="0.25">
      <c r="A168" s="62"/>
      <c r="B168" s="174"/>
      <c r="C168" s="130"/>
      <c r="D168" s="57"/>
      <c r="E168" s="58"/>
      <c r="F168" s="58"/>
      <c r="G168" s="59"/>
    </row>
    <row r="169" spans="1:7" ht="13.8" x14ac:dyDescent="0.25">
      <c r="A169" s="62"/>
      <c r="B169" s="168"/>
      <c r="C169" s="102" t="s">
        <v>139</v>
      </c>
      <c r="D169" s="65"/>
      <c r="E169" s="42"/>
      <c r="F169" s="42"/>
      <c r="G169" s="66"/>
    </row>
    <row r="170" spans="1:7" ht="13.8" x14ac:dyDescent="0.25">
      <c r="A170" s="62"/>
      <c r="B170" s="174"/>
      <c r="C170" s="102" t="s">
        <v>140</v>
      </c>
      <c r="D170" s="65">
        <v>0</v>
      </c>
      <c r="E170" s="42"/>
      <c r="F170" s="42"/>
      <c r="G170" s="66"/>
    </row>
    <row r="171" spans="1:7" ht="13.8" x14ac:dyDescent="0.25">
      <c r="A171" s="62"/>
      <c r="B171" s="174"/>
      <c r="C171" s="102" t="s">
        <v>141</v>
      </c>
      <c r="D171" s="65">
        <v>0</v>
      </c>
      <c r="E171" s="42"/>
      <c r="F171" s="42"/>
      <c r="G171" s="66"/>
    </row>
    <row r="172" spans="1:7" ht="13.8" x14ac:dyDescent="0.25">
      <c r="A172" s="127"/>
      <c r="B172" s="128"/>
      <c r="C172" s="99" t="s">
        <v>142</v>
      </c>
      <c r="D172" s="87">
        <v>0</v>
      </c>
      <c r="E172" s="88"/>
      <c r="F172" s="88"/>
      <c r="G172" s="89"/>
    </row>
    <row r="173" spans="1:7" ht="13.8" x14ac:dyDescent="0.25">
      <c r="A173" s="70"/>
      <c r="B173" s="175"/>
      <c r="C173" s="133" t="s">
        <v>23</v>
      </c>
      <c r="D173" s="72">
        <f t="shared" ref="D173:G173" si="14">SUM(D170:D172)</f>
        <v>0</v>
      </c>
      <c r="E173" s="73">
        <f t="shared" si="14"/>
        <v>0</v>
      </c>
      <c r="F173" s="73">
        <f t="shared" si="14"/>
        <v>0</v>
      </c>
      <c r="G173" s="74">
        <f t="shared" si="14"/>
        <v>0</v>
      </c>
    </row>
    <row r="174" spans="1:7" ht="13.8" x14ac:dyDescent="0.25">
      <c r="A174" s="70"/>
      <c r="B174" s="175"/>
      <c r="C174" s="133"/>
      <c r="D174" s="72"/>
      <c r="E174" s="73"/>
      <c r="F174" s="73"/>
      <c r="G174" s="74"/>
    </row>
    <row r="175" spans="1:7" ht="14.4" x14ac:dyDescent="0.3">
      <c r="A175" s="62"/>
      <c r="B175" s="177"/>
      <c r="C175" s="102" t="s">
        <v>181</v>
      </c>
      <c r="D175" s="65">
        <v>0</v>
      </c>
      <c r="E175" s="42">
        <v>0</v>
      </c>
      <c r="F175" s="42">
        <v>0</v>
      </c>
      <c r="G175" s="66">
        <v>0</v>
      </c>
    </row>
    <row r="176" spans="1:7" ht="13.8" x14ac:dyDescent="0.25">
      <c r="A176" s="62"/>
      <c r="B176" s="174"/>
      <c r="C176" s="102"/>
      <c r="D176" s="65"/>
      <c r="E176" s="42"/>
      <c r="F176" s="42"/>
      <c r="G176" s="66"/>
    </row>
    <row r="177" spans="1:7" ht="14.4" thickBot="1" x14ac:dyDescent="0.3">
      <c r="A177" s="104"/>
      <c r="B177" s="115"/>
      <c r="C177" s="178" t="s">
        <v>16</v>
      </c>
      <c r="D177" s="107">
        <f>D152+D167+D160+D173+D175</f>
        <v>5548638</v>
      </c>
      <c r="E177" s="108">
        <f>E152+E167+E160+E173+E175</f>
        <v>5514367</v>
      </c>
      <c r="F177" s="108">
        <f>F152+F167+F160+F173+F175</f>
        <v>33971</v>
      </c>
      <c r="G177" s="179">
        <f>G152+G167+G160+G173+G175</f>
        <v>300</v>
      </c>
    </row>
    <row r="178" spans="1:7" x14ac:dyDescent="0.3">
      <c r="A178" s="180"/>
      <c r="B178" s="181"/>
      <c r="C178" s="44"/>
    </row>
    <row r="190" spans="1:7" x14ac:dyDescent="0.3">
      <c r="A190" s="37"/>
      <c r="B190" s="37"/>
      <c r="C190" s="37"/>
    </row>
    <row r="191" spans="1:7" x14ac:dyDescent="0.3">
      <c r="A191" s="37"/>
      <c r="B191" s="37"/>
      <c r="C191" s="37"/>
    </row>
    <row r="192" spans="1:7" x14ac:dyDescent="0.3">
      <c r="A192" s="37"/>
      <c r="B192" s="37"/>
      <c r="C192" s="37"/>
    </row>
    <row r="193" spans="1:3" x14ac:dyDescent="0.3">
      <c r="A193" s="37"/>
      <c r="B193" s="37"/>
      <c r="C193" s="37"/>
    </row>
    <row r="194" spans="1:3" x14ac:dyDescent="0.3">
      <c r="A194" s="37"/>
      <c r="B194" s="37"/>
      <c r="C194" s="37"/>
    </row>
    <row r="195" spans="1:3" x14ac:dyDescent="0.3">
      <c r="A195" s="37"/>
      <c r="B195" s="37"/>
      <c r="C195" s="37"/>
    </row>
    <row r="196" spans="1:3" x14ac:dyDescent="0.3">
      <c r="A196" s="37"/>
      <c r="B196" s="37"/>
      <c r="C196" s="37"/>
    </row>
    <row r="197" spans="1:3" x14ac:dyDescent="0.3">
      <c r="A197" s="37"/>
      <c r="B197" s="37"/>
      <c r="C197" s="37"/>
    </row>
    <row r="198" spans="1:3" x14ac:dyDescent="0.3">
      <c r="A198" s="37"/>
      <c r="B198" s="37"/>
      <c r="C198" s="37"/>
    </row>
    <row r="199" spans="1:3" x14ac:dyDescent="0.3">
      <c r="A199" s="37"/>
      <c r="B199" s="37"/>
      <c r="C199" s="37"/>
    </row>
    <row r="200" spans="1:3" x14ac:dyDescent="0.3">
      <c r="A200" s="37"/>
      <c r="B200" s="37"/>
      <c r="C200" s="37"/>
    </row>
    <row r="201" spans="1:3" x14ac:dyDescent="0.3">
      <c r="A201" s="37"/>
      <c r="B201" s="37"/>
      <c r="C201" s="37"/>
    </row>
    <row r="202" spans="1:3" x14ac:dyDescent="0.3">
      <c r="A202" s="37"/>
      <c r="B202" s="37"/>
      <c r="C202" s="37"/>
    </row>
    <row r="203" spans="1:3" x14ac:dyDescent="0.3">
      <c r="A203" s="37"/>
      <c r="B203" s="37"/>
      <c r="C203" s="37"/>
    </row>
    <row r="204" spans="1:3" x14ac:dyDescent="0.3">
      <c r="A204" s="37"/>
      <c r="B204" s="37"/>
      <c r="C204" s="37"/>
    </row>
    <row r="205" spans="1:3" x14ac:dyDescent="0.3">
      <c r="A205" s="37"/>
      <c r="B205" s="37"/>
      <c r="C205" s="37"/>
    </row>
    <row r="206" spans="1:3" x14ac:dyDescent="0.3">
      <c r="A206" s="37"/>
      <c r="B206" s="37"/>
      <c r="C206" s="37"/>
    </row>
    <row r="207" spans="1:3" x14ac:dyDescent="0.3">
      <c r="A207" s="37"/>
      <c r="B207" s="37"/>
      <c r="C207" s="37"/>
    </row>
    <row r="208" spans="1:3" x14ac:dyDescent="0.3">
      <c r="A208" s="37"/>
      <c r="B208" s="37"/>
      <c r="C208" s="37"/>
    </row>
    <row r="209" spans="1:3" x14ac:dyDescent="0.3">
      <c r="A209" s="37"/>
      <c r="B209" s="37"/>
      <c r="C209" s="37"/>
    </row>
    <row r="210" spans="1:3" x14ac:dyDescent="0.3">
      <c r="A210" s="37"/>
      <c r="B210" s="37"/>
      <c r="C210" s="37"/>
    </row>
    <row r="211" spans="1:3" x14ac:dyDescent="0.3">
      <c r="A211" s="37"/>
      <c r="B211" s="37"/>
      <c r="C211" s="37"/>
    </row>
    <row r="212" spans="1:3" x14ac:dyDescent="0.3">
      <c r="A212" s="37"/>
      <c r="B212" s="37"/>
      <c r="C212" s="37"/>
    </row>
    <row r="213" spans="1:3" x14ac:dyDescent="0.3">
      <c r="A213" s="37"/>
      <c r="B213" s="37"/>
      <c r="C213" s="37"/>
    </row>
    <row r="214" spans="1:3" x14ac:dyDescent="0.3">
      <c r="A214" s="37"/>
      <c r="B214" s="37"/>
      <c r="C214" s="37"/>
    </row>
    <row r="215" spans="1:3" x14ac:dyDescent="0.3">
      <c r="A215" s="37"/>
      <c r="B215" s="37"/>
      <c r="C215" s="37"/>
    </row>
    <row r="216" spans="1:3" x14ac:dyDescent="0.3">
      <c r="A216" s="37"/>
      <c r="B216" s="37"/>
      <c r="C216" s="37"/>
    </row>
    <row r="217" spans="1:3" x14ac:dyDescent="0.3">
      <c r="A217" s="37"/>
      <c r="B217" s="37"/>
      <c r="C217" s="37"/>
    </row>
    <row r="218" spans="1:3" x14ac:dyDescent="0.3">
      <c r="A218" s="37"/>
      <c r="B218" s="37"/>
      <c r="C218" s="37"/>
    </row>
    <row r="219" spans="1:3" x14ac:dyDescent="0.3">
      <c r="A219" s="37"/>
      <c r="B219" s="37"/>
      <c r="C219" s="37"/>
    </row>
    <row r="220" spans="1:3" x14ac:dyDescent="0.3">
      <c r="A220" s="37"/>
      <c r="B220" s="37"/>
      <c r="C220" s="37"/>
    </row>
    <row r="221" spans="1:3" x14ac:dyDescent="0.3">
      <c r="A221" s="37"/>
      <c r="B221" s="37"/>
      <c r="C221" s="37"/>
    </row>
    <row r="222" spans="1:3" x14ac:dyDescent="0.3">
      <c r="A222" s="37"/>
      <c r="B222" s="37"/>
      <c r="C222" s="37"/>
    </row>
    <row r="223" spans="1:3" x14ac:dyDescent="0.3">
      <c r="A223" s="37"/>
      <c r="B223" s="37"/>
      <c r="C223" s="37"/>
    </row>
    <row r="224" spans="1:3" x14ac:dyDescent="0.3">
      <c r="A224" s="37"/>
      <c r="B224" s="37"/>
      <c r="C224" s="37"/>
    </row>
    <row r="225" spans="1:3" x14ac:dyDescent="0.3">
      <c r="A225" s="37"/>
      <c r="B225" s="37"/>
      <c r="C225" s="37"/>
    </row>
    <row r="226" spans="1:3" x14ac:dyDescent="0.3">
      <c r="A226" s="37"/>
      <c r="B226" s="37"/>
      <c r="C226" s="37"/>
    </row>
    <row r="227" spans="1:3" x14ac:dyDescent="0.3">
      <c r="A227" s="37"/>
      <c r="B227" s="37"/>
      <c r="C227" s="37"/>
    </row>
    <row r="228" spans="1:3" x14ac:dyDescent="0.3">
      <c r="A228" s="37"/>
      <c r="B228" s="37"/>
      <c r="C228" s="37"/>
    </row>
    <row r="229" spans="1:3" x14ac:dyDescent="0.3">
      <c r="A229" s="37"/>
      <c r="B229" s="37"/>
      <c r="C229" s="37"/>
    </row>
    <row r="230" spans="1:3" x14ac:dyDescent="0.3">
      <c r="A230" s="37"/>
      <c r="B230" s="37"/>
      <c r="C230" s="37"/>
    </row>
    <row r="231" spans="1:3" x14ac:dyDescent="0.3">
      <c r="A231" s="37"/>
      <c r="B231" s="37"/>
      <c r="C231" s="37"/>
    </row>
  </sheetData>
  <mergeCells count="1">
    <mergeCell ref="D5:G5"/>
  </mergeCells>
  <pageMargins left="0.7" right="0.7" top="0.75" bottom="0.75" header="0.3" footer="0.3"/>
  <pageSetup paperSize="9" scale="7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7E9C6-BB33-442C-8088-EB632723AFBE}">
  <dimension ref="A1:E48"/>
  <sheetViews>
    <sheetView view="pageBreakPreview" topLeftCell="A25" zoomScaleNormal="100" zoomScaleSheetLayoutView="100" workbookViewId="0">
      <selection activeCell="A29" sqref="A29"/>
    </sheetView>
  </sheetViews>
  <sheetFormatPr defaultRowHeight="13.8" x14ac:dyDescent="0.25"/>
  <cols>
    <col min="1" max="1" width="46.6640625" style="377" bestFit="1" customWidth="1"/>
    <col min="2" max="3" width="10.6640625" style="373" bestFit="1" customWidth="1"/>
    <col min="4" max="4" width="10.6640625" style="376" bestFit="1" customWidth="1"/>
    <col min="5" max="256" width="9.109375" style="374"/>
    <col min="257" max="257" width="43" style="374" customWidth="1"/>
    <col min="258" max="260" width="10.6640625" style="374" bestFit="1" customWidth="1"/>
    <col min="261" max="512" width="9.109375" style="374"/>
    <col min="513" max="513" width="43" style="374" customWidth="1"/>
    <col min="514" max="516" width="10.6640625" style="374" bestFit="1" customWidth="1"/>
    <col min="517" max="768" width="9.109375" style="374"/>
    <col min="769" max="769" width="43" style="374" customWidth="1"/>
    <col min="770" max="772" width="10.6640625" style="374" bestFit="1" customWidth="1"/>
    <col min="773" max="1024" width="9.109375" style="374"/>
    <col min="1025" max="1025" width="43" style="374" customWidth="1"/>
    <col min="1026" max="1028" width="10.6640625" style="374" bestFit="1" customWidth="1"/>
    <col min="1029" max="1280" width="9.109375" style="374"/>
    <col min="1281" max="1281" width="43" style="374" customWidth="1"/>
    <col min="1282" max="1284" width="10.6640625" style="374" bestFit="1" customWidth="1"/>
    <col min="1285" max="1536" width="9.109375" style="374"/>
    <col min="1537" max="1537" width="43" style="374" customWidth="1"/>
    <col min="1538" max="1540" width="10.6640625" style="374" bestFit="1" customWidth="1"/>
    <col min="1541" max="1792" width="9.109375" style="374"/>
    <col min="1793" max="1793" width="43" style="374" customWidth="1"/>
    <col min="1794" max="1796" width="10.6640625" style="374" bestFit="1" customWidth="1"/>
    <col min="1797" max="2048" width="9.109375" style="374"/>
    <col min="2049" max="2049" width="43" style="374" customWidth="1"/>
    <col min="2050" max="2052" width="10.6640625" style="374" bestFit="1" customWidth="1"/>
    <col min="2053" max="2304" width="9.109375" style="374"/>
    <col min="2305" max="2305" width="43" style="374" customWidth="1"/>
    <col min="2306" max="2308" width="10.6640625" style="374" bestFit="1" customWidth="1"/>
    <col min="2309" max="2560" width="9.109375" style="374"/>
    <col min="2561" max="2561" width="43" style="374" customWidth="1"/>
    <col min="2562" max="2564" width="10.6640625" style="374" bestFit="1" customWidth="1"/>
    <col min="2565" max="2816" width="9.109375" style="374"/>
    <col min="2817" max="2817" width="43" style="374" customWidth="1"/>
    <col min="2818" max="2820" width="10.6640625" style="374" bestFit="1" customWidth="1"/>
    <col min="2821" max="3072" width="9.109375" style="374"/>
    <col min="3073" max="3073" width="43" style="374" customWidth="1"/>
    <col min="3074" max="3076" width="10.6640625" style="374" bestFit="1" customWidth="1"/>
    <col min="3077" max="3328" width="9.109375" style="374"/>
    <col min="3329" max="3329" width="43" style="374" customWidth="1"/>
    <col min="3330" max="3332" width="10.6640625" style="374" bestFit="1" customWidth="1"/>
    <col min="3333" max="3584" width="9.109375" style="374"/>
    <col min="3585" max="3585" width="43" style="374" customWidth="1"/>
    <col min="3586" max="3588" width="10.6640625" style="374" bestFit="1" customWidth="1"/>
    <col min="3589" max="3840" width="9.109375" style="374"/>
    <col min="3841" max="3841" width="43" style="374" customWidth="1"/>
    <col min="3842" max="3844" width="10.6640625" style="374" bestFit="1" customWidth="1"/>
    <col min="3845" max="4096" width="9.109375" style="374"/>
    <col min="4097" max="4097" width="43" style="374" customWidth="1"/>
    <col min="4098" max="4100" width="10.6640625" style="374" bestFit="1" customWidth="1"/>
    <col min="4101" max="4352" width="9.109375" style="374"/>
    <col min="4353" max="4353" width="43" style="374" customWidth="1"/>
    <col min="4354" max="4356" width="10.6640625" style="374" bestFit="1" customWidth="1"/>
    <col min="4357" max="4608" width="9.109375" style="374"/>
    <col min="4609" max="4609" width="43" style="374" customWidth="1"/>
    <col min="4610" max="4612" width="10.6640625" style="374" bestFit="1" customWidth="1"/>
    <col min="4613" max="4864" width="9.109375" style="374"/>
    <col min="4865" max="4865" width="43" style="374" customWidth="1"/>
    <col min="4866" max="4868" width="10.6640625" style="374" bestFit="1" customWidth="1"/>
    <col min="4869" max="5120" width="9.109375" style="374"/>
    <col min="5121" max="5121" width="43" style="374" customWidth="1"/>
    <col min="5122" max="5124" width="10.6640625" style="374" bestFit="1" customWidth="1"/>
    <col min="5125" max="5376" width="9.109375" style="374"/>
    <col min="5377" max="5377" width="43" style="374" customWidth="1"/>
    <col min="5378" max="5380" width="10.6640625" style="374" bestFit="1" customWidth="1"/>
    <col min="5381" max="5632" width="9.109375" style="374"/>
    <col min="5633" max="5633" width="43" style="374" customWidth="1"/>
    <col min="5634" max="5636" width="10.6640625" style="374" bestFit="1" customWidth="1"/>
    <col min="5637" max="5888" width="9.109375" style="374"/>
    <col min="5889" max="5889" width="43" style="374" customWidth="1"/>
    <col min="5890" max="5892" width="10.6640625" style="374" bestFit="1" customWidth="1"/>
    <col min="5893" max="6144" width="9.109375" style="374"/>
    <col min="6145" max="6145" width="43" style="374" customWidth="1"/>
    <col min="6146" max="6148" width="10.6640625" style="374" bestFit="1" customWidth="1"/>
    <col min="6149" max="6400" width="9.109375" style="374"/>
    <col min="6401" max="6401" width="43" style="374" customWidth="1"/>
    <col min="6402" max="6404" width="10.6640625" style="374" bestFit="1" customWidth="1"/>
    <col min="6405" max="6656" width="9.109375" style="374"/>
    <col min="6657" max="6657" width="43" style="374" customWidth="1"/>
    <col min="6658" max="6660" width="10.6640625" style="374" bestFit="1" customWidth="1"/>
    <col min="6661" max="6912" width="9.109375" style="374"/>
    <col min="6913" max="6913" width="43" style="374" customWidth="1"/>
    <col min="6914" max="6916" width="10.6640625" style="374" bestFit="1" customWidth="1"/>
    <col min="6917" max="7168" width="9.109375" style="374"/>
    <col min="7169" max="7169" width="43" style="374" customWidth="1"/>
    <col min="7170" max="7172" width="10.6640625" style="374" bestFit="1" customWidth="1"/>
    <col min="7173" max="7424" width="9.109375" style="374"/>
    <col min="7425" max="7425" width="43" style="374" customWidth="1"/>
    <col min="7426" max="7428" width="10.6640625" style="374" bestFit="1" customWidth="1"/>
    <col min="7429" max="7680" width="9.109375" style="374"/>
    <col min="7681" max="7681" width="43" style="374" customWidth="1"/>
    <col min="7682" max="7684" width="10.6640625" style="374" bestFit="1" customWidth="1"/>
    <col min="7685" max="7936" width="9.109375" style="374"/>
    <col min="7937" max="7937" width="43" style="374" customWidth="1"/>
    <col min="7938" max="7940" width="10.6640625" style="374" bestFit="1" customWidth="1"/>
    <col min="7941" max="8192" width="9.109375" style="374"/>
    <col min="8193" max="8193" width="43" style="374" customWidth="1"/>
    <col min="8194" max="8196" width="10.6640625" style="374" bestFit="1" customWidth="1"/>
    <col min="8197" max="8448" width="9.109375" style="374"/>
    <col min="8449" max="8449" width="43" style="374" customWidth="1"/>
    <col min="8450" max="8452" width="10.6640625" style="374" bestFit="1" customWidth="1"/>
    <col min="8453" max="8704" width="9.109375" style="374"/>
    <col min="8705" max="8705" width="43" style="374" customWidth="1"/>
    <col min="8706" max="8708" width="10.6640625" style="374" bestFit="1" customWidth="1"/>
    <col min="8709" max="8960" width="9.109375" style="374"/>
    <col min="8961" max="8961" width="43" style="374" customWidth="1"/>
    <col min="8962" max="8964" width="10.6640625" style="374" bestFit="1" customWidth="1"/>
    <col min="8965" max="9216" width="9.109375" style="374"/>
    <col min="9217" max="9217" width="43" style="374" customWidth="1"/>
    <col min="9218" max="9220" width="10.6640625" style="374" bestFit="1" customWidth="1"/>
    <col min="9221" max="9472" width="9.109375" style="374"/>
    <col min="9473" max="9473" width="43" style="374" customWidth="1"/>
    <col min="9474" max="9476" width="10.6640625" style="374" bestFit="1" customWidth="1"/>
    <col min="9477" max="9728" width="9.109375" style="374"/>
    <col min="9729" max="9729" width="43" style="374" customWidth="1"/>
    <col min="9730" max="9732" width="10.6640625" style="374" bestFit="1" customWidth="1"/>
    <col min="9733" max="9984" width="9.109375" style="374"/>
    <col min="9985" max="9985" width="43" style="374" customWidth="1"/>
    <col min="9986" max="9988" width="10.6640625" style="374" bestFit="1" customWidth="1"/>
    <col min="9989" max="10240" width="9.109375" style="374"/>
    <col min="10241" max="10241" width="43" style="374" customWidth="1"/>
    <col min="10242" max="10244" width="10.6640625" style="374" bestFit="1" customWidth="1"/>
    <col min="10245" max="10496" width="9.109375" style="374"/>
    <col min="10497" max="10497" width="43" style="374" customWidth="1"/>
    <col min="10498" max="10500" width="10.6640625" style="374" bestFit="1" customWidth="1"/>
    <col min="10501" max="10752" width="9.109375" style="374"/>
    <col min="10753" max="10753" width="43" style="374" customWidth="1"/>
    <col min="10754" max="10756" width="10.6640625" style="374" bestFit="1" customWidth="1"/>
    <col min="10757" max="11008" width="9.109375" style="374"/>
    <col min="11009" max="11009" width="43" style="374" customWidth="1"/>
    <col min="11010" max="11012" width="10.6640625" style="374" bestFit="1" customWidth="1"/>
    <col min="11013" max="11264" width="9.109375" style="374"/>
    <col min="11265" max="11265" width="43" style="374" customWidth="1"/>
    <col min="11266" max="11268" width="10.6640625" style="374" bestFit="1" customWidth="1"/>
    <col min="11269" max="11520" width="9.109375" style="374"/>
    <col min="11521" max="11521" width="43" style="374" customWidth="1"/>
    <col min="11522" max="11524" width="10.6640625" style="374" bestFit="1" customWidth="1"/>
    <col min="11525" max="11776" width="9.109375" style="374"/>
    <col min="11777" max="11777" width="43" style="374" customWidth="1"/>
    <col min="11778" max="11780" width="10.6640625" style="374" bestFit="1" customWidth="1"/>
    <col min="11781" max="12032" width="9.109375" style="374"/>
    <col min="12033" max="12033" width="43" style="374" customWidth="1"/>
    <col min="12034" max="12036" width="10.6640625" style="374" bestFit="1" customWidth="1"/>
    <col min="12037" max="12288" width="9.109375" style="374"/>
    <col min="12289" max="12289" width="43" style="374" customWidth="1"/>
    <col min="12290" max="12292" width="10.6640625" style="374" bestFit="1" customWidth="1"/>
    <col min="12293" max="12544" width="9.109375" style="374"/>
    <col min="12545" max="12545" width="43" style="374" customWidth="1"/>
    <col min="12546" max="12548" width="10.6640625" style="374" bestFit="1" customWidth="1"/>
    <col min="12549" max="12800" width="9.109375" style="374"/>
    <col min="12801" max="12801" width="43" style="374" customWidth="1"/>
    <col min="12802" max="12804" width="10.6640625" style="374" bestFit="1" customWidth="1"/>
    <col min="12805" max="13056" width="9.109375" style="374"/>
    <col min="13057" max="13057" width="43" style="374" customWidth="1"/>
    <col min="13058" max="13060" width="10.6640625" style="374" bestFit="1" customWidth="1"/>
    <col min="13061" max="13312" width="9.109375" style="374"/>
    <col min="13313" max="13313" width="43" style="374" customWidth="1"/>
    <col min="13314" max="13316" width="10.6640625" style="374" bestFit="1" customWidth="1"/>
    <col min="13317" max="13568" width="9.109375" style="374"/>
    <col min="13569" max="13569" width="43" style="374" customWidth="1"/>
    <col min="13570" max="13572" width="10.6640625" style="374" bestFit="1" customWidth="1"/>
    <col min="13573" max="13824" width="9.109375" style="374"/>
    <col min="13825" max="13825" width="43" style="374" customWidth="1"/>
    <col min="13826" max="13828" width="10.6640625" style="374" bestFit="1" customWidth="1"/>
    <col min="13829" max="14080" width="9.109375" style="374"/>
    <col min="14081" max="14081" width="43" style="374" customWidth="1"/>
    <col min="14082" max="14084" width="10.6640625" style="374" bestFit="1" customWidth="1"/>
    <col min="14085" max="14336" width="9.109375" style="374"/>
    <col min="14337" max="14337" width="43" style="374" customWidth="1"/>
    <col min="14338" max="14340" width="10.6640625" style="374" bestFit="1" customWidth="1"/>
    <col min="14341" max="14592" width="9.109375" style="374"/>
    <col min="14593" max="14593" width="43" style="374" customWidth="1"/>
    <col min="14594" max="14596" width="10.6640625" style="374" bestFit="1" customWidth="1"/>
    <col min="14597" max="14848" width="9.109375" style="374"/>
    <col min="14849" max="14849" width="43" style="374" customWidth="1"/>
    <col min="14850" max="14852" width="10.6640625" style="374" bestFit="1" customWidth="1"/>
    <col min="14853" max="15104" width="9.109375" style="374"/>
    <col min="15105" max="15105" width="43" style="374" customWidth="1"/>
    <col min="15106" max="15108" width="10.6640625" style="374" bestFit="1" customWidth="1"/>
    <col min="15109" max="15360" width="9.109375" style="374"/>
    <col min="15361" max="15361" width="43" style="374" customWidth="1"/>
    <col min="15362" max="15364" width="10.6640625" style="374" bestFit="1" customWidth="1"/>
    <col min="15365" max="15616" width="9.109375" style="374"/>
    <col min="15617" max="15617" width="43" style="374" customWidth="1"/>
    <col min="15618" max="15620" width="10.6640625" style="374" bestFit="1" customWidth="1"/>
    <col min="15621" max="15872" width="9.109375" style="374"/>
    <col min="15873" max="15873" width="43" style="374" customWidth="1"/>
    <col min="15874" max="15876" width="10.6640625" style="374" bestFit="1" customWidth="1"/>
    <col min="15877" max="16128" width="9.109375" style="374"/>
    <col min="16129" max="16129" width="43" style="374" customWidth="1"/>
    <col min="16130" max="16132" width="10.6640625" style="374" bestFit="1" customWidth="1"/>
    <col min="16133" max="16384" width="9.109375" style="374"/>
  </cols>
  <sheetData>
    <row r="1" spans="1:5" x14ac:dyDescent="0.25">
      <c r="A1" s="373"/>
      <c r="D1" s="551" t="s">
        <v>965</v>
      </c>
    </row>
    <row r="2" spans="1:5" x14ac:dyDescent="0.25">
      <c r="A2" s="375"/>
      <c r="B2" s="8"/>
      <c r="C2" s="8"/>
      <c r="D2" s="8"/>
    </row>
    <row r="3" spans="1:5" ht="15" customHeight="1" x14ac:dyDescent="0.25">
      <c r="A3" s="616" t="s">
        <v>656</v>
      </c>
      <c r="B3" s="616"/>
      <c r="C3" s="616"/>
    </row>
    <row r="4" spans="1:5" x14ac:dyDescent="0.25">
      <c r="C4" s="375"/>
      <c r="D4" s="375" t="s">
        <v>24</v>
      </c>
    </row>
    <row r="5" spans="1:5" x14ac:dyDescent="0.25">
      <c r="A5" s="378" t="s">
        <v>657</v>
      </c>
      <c r="B5" s="552" t="s">
        <v>658</v>
      </c>
      <c r="C5" s="553" t="s">
        <v>659</v>
      </c>
      <c r="D5" s="553" t="s">
        <v>686</v>
      </c>
    </row>
    <row r="6" spans="1:5" x14ac:dyDescent="0.25">
      <c r="A6" s="379" t="s">
        <v>86</v>
      </c>
      <c r="B6" s="554">
        <v>220000</v>
      </c>
      <c r="C6" s="554">
        <v>230000</v>
      </c>
      <c r="D6" s="554">
        <v>240000</v>
      </c>
    </row>
    <row r="7" spans="1:5" x14ac:dyDescent="0.25">
      <c r="A7" s="380" t="s">
        <v>660</v>
      </c>
      <c r="B7" s="554">
        <v>1100000</v>
      </c>
      <c r="C7" s="554">
        <v>1100000</v>
      </c>
      <c r="D7" s="554">
        <v>1100000</v>
      </c>
    </row>
    <row r="8" spans="1:5" x14ac:dyDescent="0.25">
      <c r="A8" s="379" t="s">
        <v>661</v>
      </c>
      <c r="B8" s="554">
        <v>0</v>
      </c>
      <c r="C8" s="554">
        <v>0</v>
      </c>
      <c r="D8" s="554">
        <v>0</v>
      </c>
    </row>
    <row r="9" spans="1:5" x14ac:dyDescent="0.25">
      <c r="A9" s="379" t="s">
        <v>662</v>
      </c>
      <c r="B9" s="554">
        <v>15000</v>
      </c>
      <c r="C9" s="554">
        <v>16000</v>
      </c>
      <c r="D9" s="554">
        <v>16000</v>
      </c>
    </row>
    <row r="10" spans="1:5" x14ac:dyDescent="0.25">
      <c r="A10" s="379" t="s">
        <v>102</v>
      </c>
      <c r="B10" s="554">
        <v>1820000</v>
      </c>
      <c r="C10" s="554">
        <v>1910000</v>
      </c>
      <c r="D10" s="554">
        <v>1990000</v>
      </c>
    </row>
    <row r="11" spans="1:5" x14ac:dyDescent="0.25">
      <c r="A11" s="379" t="s">
        <v>155</v>
      </c>
      <c r="B11" s="554">
        <v>150000</v>
      </c>
      <c r="C11" s="554">
        <v>157500</v>
      </c>
      <c r="D11" s="554">
        <v>165375</v>
      </c>
      <c r="E11" s="381"/>
    </row>
    <row r="12" spans="1:5" x14ac:dyDescent="0.25">
      <c r="A12" s="379" t="s">
        <v>199</v>
      </c>
      <c r="B12" s="554">
        <v>100</v>
      </c>
      <c r="C12" s="554">
        <v>100</v>
      </c>
      <c r="D12" s="554">
        <v>100</v>
      </c>
      <c r="E12" s="381"/>
    </row>
    <row r="13" spans="1:5" x14ac:dyDescent="0.25">
      <c r="A13" s="382" t="s">
        <v>106</v>
      </c>
      <c r="B13" s="554">
        <v>0</v>
      </c>
      <c r="C13" s="554">
        <v>0</v>
      </c>
      <c r="D13" s="554">
        <v>0</v>
      </c>
      <c r="E13" s="381"/>
    </row>
    <row r="14" spans="1:5" x14ac:dyDescent="0.25">
      <c r="A14" s="379" t="s">
        <v>105</v>
      </c>
      <c r="B14" s="554">
        <v>55000</v>
      </c>
      <c r="C14" s="554">
        <v>60000</v>
      </c>
      <c r="D14" s="554">
        <v>65000</v>
      </c>
    </row>
    <row r="15" spans="1:5" x14ac:dyDescent="0.25">
      <c r="A15" s="379" t="s">
        <v>663</v>
      </c>
      <c r="B15" s="554">
        <v>2000</v>
      </c>
      <c r="C15" s="554">
        <v>2000</v>
      </c>
      <c r="D15" s="554">
        <v>2000</v>
      </c>
    </row>
    <row r="16" spans="1:5" x14ac:dyDescent="0.25">
      <c r="A16" s="383" t="s">
        <v>664</v>
      </c>
      <c r="B16" s="555">
        <f>SUM(B6:B15)</f>
        <v>3362100</v>
      </c>
      <c r="C16" s="555">
        <f>SUM(C6:C15)</f>
        <v>3475600</v>
      </c>
      <c r="D16" s="555">
        <f>SUM(D6:D15)</f>
        <v>3578475</v>
      </c>
    </row>
    <row r="17" spans="1:5" x14ac:dyDescent="0.25">
      <c r="A17" s="379" t="s">
        <v>665</v>
      </c>
      <c r="B17" s="554">
        <v>0</v>
      </c>
      <c r="C17" s="554">
        <v>0</v>
      </c>
      <c r="D17" s="554">
        <v>0</v>
      </c>
    </row>
    <row r="18" spans="1:5" x14ac:dyDescent="0.25">
      <c r="A18" s="379" t="s">
        <v>63</v>
      </c>
      <c r="B18" s="554">
        <v>290000</v>
      </c>
      <c r="C18" s="554">
        <v>300000</v>
      </c>
      <c r="D18" s="554">
        <v>305000</v>
      </c>
      <c r="E18" s="381"/>
    </row>
    <row r="19" spans="1:5" x14ac:dyDescent="0.25">
      <c r="A19" s="379" t="s">
        <v>112</v>
      </c>
      <c r="B19" s="554">
        <v>100000</v>
      </c>
      <c r="C19" s="554">
        <v>210000</v>
      </c>
      <c r="D19" s="554">
        <v>215000</v>
      </c>
      <c r="E19" s="381"/>
    </row>
    <row r="20" spans="1:5" x14ac:dyDescent="0.25">
      <c r="A20" s="379" t="s">
        <v>666</v>
      </c>
      <c r="B20" s="554">
        <v>14000</v>
      </c>
      <c r="C20" s="554">
        <v>14700</v>
      </c>
      <c r="D20" s="554">
        <v>15000</v>
      </c>
    </row>
    <row r="21" spans="1:5" x14ac:dyDescent="0.25">
      <c r="A21" s="379" t="s">
        <v>667</v>
      </c>
      <c r="B21" s="554">
        <v>4000</v>
      </c>
      <c r="C21" s="554">
        <v>4000</v>
      </c>
      <c r="D21" s="554">
        <v>4000</v>
      </c>
    </row>
    <row r="22" spans="1:5" x14ac:dyDescent="0.25">
      <c r="A22" s="379" t="s">
        <v>668</v>
      </c>
      <c r="B22" s="554">
        <v>0</v>
      </c>
      <c r="C22" s="554">
        <v>0</v>
      </c>
      <c r="D22" s="554">
        <v>0</v>
      </c>
    </row>
    <row r="23" spans="1:5" x14ac:dyDescent="0.25">
      <c r="A23" s="379" t="s">
        <v>114</v>
      </c>
      <c r="B23" s="554">
        <v>150000</v>
      </c>
      <c r="C23" s="554">
        <v>100000</v>
      </c>
      <c r="D23" s="554">
        <v>100000</v>
      </c>
    </row>
    <row r="24" spans="1:5" x14ac:dyDescent="0.25">
      <c r="A24" s="383" t="s">
        <v>669</v>
      </c>
      <c r="B24" s="555">
        <f>SUM(B17:B23)</f>
        <v>558000</v>
      </c>
      <c r="C24" s="555">
        <f>SUM(C17:C23)</f>
        <v>628700</v>
      </c>
      <c r="D24" s="555">
        <f>SUM(D17:D23)</f>
        <v>639000</v>
      </c>
    </row>
    <row r="25" spans="1:5" ht="13.5" customHeight="1" x14ac:dyDescent="0.25">
      <c r="A25" s="384" t="s">
        <v>670</v>
      </c>
      <c r="B25" s="556">
        <f>B16+B24</f>
        <v>3920100</v>
      </c>
      <c r="C25" s="556">
        <f>C16+C24</f>
        <v>4104300</v>
      </c>
      <c r="D25" s="556">
        <f>D16+D24</f>
        <v>4217475</v>
      </c>
    </row>
    <row r="26" spans="1:5" ht="13.5" customHeight="1" x14ac:dyDescent="0.25">
      <c r="A26" s="384"/>
      <c r="B26" s="556"/>
      <c r="C26" s="556"/>
      <c r="D26" s="556"/>
    </row>
    <row r="27" spans="1:5" x14ac:dyDescent="0.25">
      <c r="A27" s="378" t="s">
        <v>671</v>
      </c>
      <c r="B27" s="552" t="s">
        <v>658</v>
      </c>
      <c r="C27" s="553" t="s">
        <v>659</v>
      </c>
      <c r="D27" s="553" t="s">
        <v>686</v>
      </c>
    </row>
    <row r="28" spans="1:5" x14ac:dyDescent="0.25">
      <c r="A28" s="379" t="s">
        <v>21</v>
      </c>
      <c r="B28" s="554">
        <v>1121000</v>
      </c>
      <c r="C28" s="554">
        <v>1178000</v>
      </c>
      <c r="D28" s="554">
        <v>1236780</v>
      </c>
    </row>
    <row r="29" spans="1:5" ht="27.6" x14ac:dyDescent="0.25">
      <c r="A29" s="380" t="s">
        <v>74</v>
      </c>
      <c r="B29" s="554">
        <v>145730</v>
      </c>
      <c r="C29" s="554">
        <v>153140</v>
      </c>
      <c r="D29" s="554">
        <v>160781.4</v>
      </c>
    </row>
    <row r="30" spans="1:5" x14ac:dyDescent="0.25">
      <c r="A30" s="379" t="s">
        <v>26</v>
      </c>
      <c r="B30" s="554">
        <v>1600000</v>
      </c>
      <c r="C30" s="554">
        <v>1650000</v>
      </c>
      <c r="D30" s="554">
        <v>1750000</v>
      </c>
    </row>
    <row r="31" spans="1:5" x14ac:dyDescent="0.25">
      <c r="A31" s="379" t="s">
        <v>672</v>
      </c>
      <c r="B31" s="554">
        <v>485000</v>
      </c>
      <c r="C31" s="554">
        <v>490000</v>
      </c>
      <c r="D31" s="554">
        <v>500000</v>
      </c>
    </row>
    <row r="32" spans="1:5" x14ac:dyDescent="0.25">
      <c r="A32" s="379" t="s">
        <v>673</v>
      </c>
      <c r="B32" s="554">
        <v>15000</v>
      </c>
      <c r="C32" s="554">
        <v>15000</v>
      </c>
      <c r="D32" s="554">
        <v>15000</v>
      </c>
      <c r="E32" s="381"/>
    </row>
    <row r="33" spans="1:5" x14ac:dyDescent="0.25">
      <c r="A33" s="379" t="s">
        <v>674</v>
      </c>
      <c r="B33" s="554">
        <v>0</v>
      </c>
      <c r="C33" s="554">
        <v>0</v>
      </c>
      <c r="D33" s="554">
        <v>0</v>
      </c>
      <c r="E33" s="381"/>
    </row>
    <row r="34" spans="1:5" x14ac:dyDescent="0.25">
      <c r="A34" s="379" t="s">
        <v>675</v>
      </c>
      <c r="B34" s="554">
        <v>1000</v>
      </c>
      <c r="C34" s="554">
        <v>1000</v>
      </c>
      <c r="D34" s="554">
        <v>1000</v>
      </c>
    </row>
    <row r="35" spans="1:5" x14ac:dyDescent="0.25">
      <c r="A35" s="379" t="s">
        <v>107</v>
      </c>
      <c r="B35" s="554">
        <v>0</v>
      </c>
      <c r="C35" s="554">
        <v>0</v>
      </c>
      <c r="D35" s="554">
        <v>0</v>
      </c>
    </row>
    <row r="36" spans="1:5" x14ac:dyDescent="0.25">
      <c r="A36" s="379" t="s">
        <v>676</v>
      </c>
      <c r="B36" s="554">
        <v>5000</v>
      </c>
      <c r="C36" s="554">
        <v>5000</v>
      </c>
      <c r="D36" s="554">
        <v>5000</v>
      </c>
    </row>
    <row r="37" spans="1:5" x14ac:dyDescent="0.25">
      <c r="A37" s="383" t="s">
        <v>677</v>
      </c>
      <c r="B37" s="555">
        <f>SUM(B28:B36)</f>
        <v>3372730</v>
      </c>
      <c r="C37" s="555">
        <f>SUM(C28:C36)</f>
        <v>3492140</v>
      </c>
      <c r="D37" s="555">
        <f>SUM(D28:D36)</f>
        <v>3668561.4</v>
      </c>
    </row>
    <row r="38" spans="1:5" x14ac:dyDescent="0.25">
      <c r="A38" s="379" t="s">
        <v>678</v>
      </c>
      <c r="B38" s="554">
        <v>160000</v>
      </c>
      <c r="C38" s="554">
        <v>165000</v>
      </c>
      <c r="D38" s="554">
        <v>165000</v>
      </c>
    </row>
    <row r="39" spans="1:5" x14ac:dyDescent="0.25">
      <c r="A39" s="379" t="s">
        <v>47</v>
      </c>
      <c r="B39" s="554">
        <v>308613</v>
      </c>
      <c r="C39" s="554">
        <v>369214</v>
      </c>
      <c r="D39" s="554">
        <v>307129</v>
      </c>
    </row>
    <row r="40" spans="1:5" x14ac:dyDescent="0.25">
      <c r="A40" s="379" t="s">
        <v>679</v>
      </c>
      <c r="B40" s="554">
        <v>7000</v>
      </c>
      <c r="C40" s="554">
        <v>7350</v>
      </c>
      <c r="D40" s="554">
        <v>7350</v>
      </c>
    </row>
    <row r="41" spans="1:5" x14ac:dyDescent="0.25">
      <c r="A41" s="379" t="s">
        <v>680</v>
      </c>
      <c r="B41" s="554">
        <v>26389</v>
      </c>
      <c r="C41" s="554">
        <v>26389</v>
      </c>
      <c r="D41" s="554">
        <v>26389</v>
      </c>
    </row>
    <row r="42" spans="1:5" x14ac:dyDescent="0.25">
      <c r="A42" s="379" t="s">
        <v>681</v>
      </c>
      <c r="B42" s="554">
        <v>5368</v>
      </c>
      <c r="C42" s="554">
        <v>4207</v>
      </c>
      <c r="D42" s="554">
        <v>3046</v>
      </c>
    </row>
    <row r="43" spans="1:5" x14ac:dyDescent="0.25">
      <c r="A43" s="379" t="s">
        <v>682</v>
      </c>
      <c r="B43" s="554">
        <v>0</v>
      </c>
      <c r="C43" s="554">
        <v>0</v>
      </c>
      <c r="D43" s="554">
        <v>0</v>
      </c>
    </row>
    <row r="44" spans="1:5" x14ac:dyDescent="0.25">
      <c r="A44" s="379" t="s">
        <v>683</v>
      </c>
      <c r="B44" s="554">
        <v>40000</v>
      </c>
      <c r="C44" s="554">
        <v>40000</v>
      </c>
      <c r="D44" s="554">
        <v>40000</v>
      </c>
    </row>
    <row r="45" spans="1:5" x14ac:dyDescent="0.25">
      <c r="A45" s="383" t="s">
        <v>684</v>
      </c>
      <c r="B45" s="555">
        <f>SUM(B38:B44)</f>
        <v>547370</v>
      </c>
      <c r="C45" s="555">
        <f>SUM(C38:C44)</f>
        <v>612160</v>
      </c>
      <c r="D45" s="555">
        <f>SUM(D38:D44)</f>
        <v>548914</v>
      </c>
    </row>
    <row r="46" spans="1:5" x14ac:dyDescent="0.25">
      <c r="A46" s="384" t="s">
        <v>685</v>
      </c>
      <c r="B46" s="556">
        <f>B37+B45</f>
        <v>3920100</v>
      </c>
      <c r="C46" s="556">
        <f>C37+C45</f>
        <v>4104300</v>
      </c>
      <c r="D46" s="556">
        <f>D37+D45</f>
        <v>4217475.4000000004</v>
      </c>
    </row>
    <row r="47" spans="1:5" s="376" customFormat="1" x14ac:dyDescent="0.25">
      <c r="A47" s="377"/>
      <c r="B47" s="373"/>
      <c r="C47" s="373"/>
    </row>
    <row r="48" spans="1:5" s="376" customFormat="1" x14ac:dyDescent="0.25">
      <c r="A48" s="377"/>
      <c r="B48" s="373"/>
      <c r="C48" s="373"/>
    </row>
  </sheetData>
  <mergeCells count="1">
    <mergeCell ref="A3:C3"/>
  </mergeCells>
  <printOptions horizont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2501E-52AC-47F2-BC4C-46780E51F5E8}">
  <sheetPr>
    <pageSetUpPr fitToPage="1"/>
  </sheetPr>
  <dimension ref="A1:C58"/>
  <sheetViews>
    <sheetView topLeftCell="A56" zoomScaleNormal="100" workbookViewId="0">
      <selection activeCell="A5" sqref="A5:C58"/>
    </sheetView>
  </sheetViews>
  <sheetFormatPr defaultRowHeight="13.2" x14ac:dyDescent="0.25"/>
  <cols>
    <col min="1" max="1" width="64.88671875" style="8" customWidth="1"/>
    <col min="2" max="2" width="58.33203125" style="8" customWidth="1"/>
    <col min="3" max="3" width="33.109375" style="8" customWidth="1"/>
    <col min="4" max="256" width="9.109375" style="8"/>
    <col min="257" max="257" width="64.88671875" style="8" customWidth="1"/>
    <col min="258" max="258" width="58.33203125" style="8" customWidth="1"/>
    <col min="259" max="259" width="33.109375" style="8" customWidth="1"/>
    <col min="260" max="512" width="9.109375" style="8"/>
    <col min="513" max="513" width="64.88671875" style="8" customWidth="1"/>
    <col min="514" max="514" width="58.33203125" style="8" customWidth="1"/>
    <col min="515" max="515" width="33.109375" style="8" customWidth="1"/>
    <col min="516" max="768" width="9.109375" style="8"/>
    <col min="769" max="769" width="64.88671875" style="8" customWidth="1"/>
    <col min="770" max="770" width="58.33203125" style="8" customWidth="1"/>
    <col min="771" max="771" width="33.109375" style="8" customWidth="1"/>
    <col min="772" max="1024" width="9.109375" style="8"/>
    <col min="1025" max="1025" width="64.88671875" style="8" customWidth="1"/>
    <col min="1026" max="1026" width="58.33203125" style="8" customWidth="1"/>
    <col min="1027" max="1027" width="33.109375" style="8" customWidth="1"/>
    <col min="1028" max="1280" width="9.109375" style="8"/>
    <col min="1281" max="1281" width="64.88671875" style="8" customWidth="1"/>
    <col min="1282" max="1282" width="58.33203125" style="8" customWidth="1"/>
    <col min="1283" max="1283" width="33.109375" style="8" customWidth="1"/>
    <col min="1284" max="1536" width="9.109375" style="8"/>
    <col min="1537" max="1537" width="64.88671875" style="8" customWidth="1"/>
    <col min="1538" max="1538" width="58.33203125" style="8" customWidth="1"/>
    <col min="1539" max="1539" width="33.109375" style="8" customWidth="1"/>
    <col min="1540" max="1792" width="9.109375" style="8"/>
    <col min="1793" max="1793" width="64.88671875" style="8" customWidth="1"/>
    <col min="1794" max="1794" width="58.33203125" style="8" customWidth="1"/>
    <col min="1795" max="1795" width="33.109375" style="8" customWidth="1"/>
    <col min="1796" max="2048" width="9.109375" style="8"/>
    <col min="2049" max="2049" width="64.88671875" style="8" customWidth="1"/>
    <col min="2050" max="2050" width="58.33203125" style="8" customWidth="1"/>
    <col min="2051" max="2051" width="33.109375" style="8" customWidth="1"/>
    <col min="2052" max="2304" width="9.109375" style="8"/>
    <col min="2305" max="2305" width="64.88671875" style="8" customWidth="1"/>
    <col min="2306" max="2306" width="58.33203125" style="8" customWidth="1"/>
    <col min="2307" max="2307" width="33.109375" style="8" customWidth="1"/>
    <col min="2308" max="2560" width="9.109375" style="8"/>
    <col min="2561" max="2561" width="64.88671875" style="8" customWidth="1"/>
    <col min="2562" max="2562" width="58.33203125" style="8" customWidth="1"/>
    <col min="2563" max="2563" width="33.109375" style="8" customWidth="1"/>
    <col min="2564" max="2816" width="9.109375" style="8"/>
    <col min="2817" max="2817" width="64.88671875" style="8" customWidth="1"/>
    <col min="2818" max="2818" width="58.33203125" style="8" customWidth="1"/>
    <col min="2819" max="2819" width="33.109375" style="8" customWidth="1"/>
    <col min="2820" max="3072" width="9.109375" style="8"/>
    <col min="3073" max="3073" width="64.88671875" style="8" customWidth="1"/>
    <col min="3074" max="3074" width="58.33203125" style="8" customWidth="1"/>
    <col min="3075" max="3075" width="33.109375" style="8" customWidth="1"/>
    <col min="3076" max="3328" width="9.109375" style="8"/>
    <col min="3329" max="3329" width="64.88671875" style="8" customWidth="1"/>
    <col min="3330" max="3330" width="58.33203125" style="8" customWidth="1"/>
    <col min="3331" max="3331" width="33.109375" style="8" customWidth="1"/>
    <col min="3332" max="3584" width="9.109375" style="8"/>
    <col min="3585" max="3585" width="64.88671875" style="8" customWidth="1"/>
    <col min="3586" max="3586" width="58.33203125" style="8" customWidth="1"/>
    <col min="3587" max="3587" width="33.109375" style="8" customWidth="1"/>
    <col min="3588" max="3840" width="9.109375" style="8"/>
    <col min="3841" max="3841" width="64.88671875" style="8" customWidth="1"/>
    <col min="3842" max="3842" width="58.33203125" style="8" customWidth="1"/>
    <col min="3843" max="3843" width="33.109375" style="8" customWidth="1"/>
    <col min="3844" max="4096" width="9.109375" style="8"/>
    <col min="4097" max="4097" width="64.88671875" style="8" customWidth="1"/>
    <col min="4098" max="4098" width="58.33203125" style="8" customWidth="1"/>
    <col min="4099" max="4099" width="33.109375" style="8" customWidth="1"/>
    <col min="4100" max="4352" width="9.109375" style="8"/>
    <col min="4353" max="4353" width="64.88671875" style="8" customWidth="1"/>
    <col min="4354" max="4354" width="58.33203125" style="8" customWidth="1"/>
    <col min="4355" max="4355" width="33.109375" style="8" customWidth="1"/>
    <col min="4356" max="4608" width="9.109375" style="8"/>
    <col min="4609" max="4609" width="64.88671875" style="8" customWidth="1"/>
    <col min="4610" max="4610" width="58.33203125" style="8" customWidth="1"/>
    <col min="4611" max="4611" width="33.109375" style="8" customWidth="1"/>
    <col min="4612" max="4864" width="9.109375" style="8"/>
    <col min="4865" max="4865" width="64.88671875" style="8" customWidth="1"/>
    <col min="4866" max="4866" width="58.33203125" style="8" customWidth="1"/>
    <col min="4867" max="4867" width="33.109375" style="8" customWidth="1"/>
    <col min="4868" max="5120" width="9.109375" style="8"/>
    <col min="5121" max="5121" width="64.88671875" style="8" customWidth="1"/>
    <col min="5122" max="5122" width="58.33203125" style="8" customWidth="1"/>
    <col min="5123" max="5123" width="33.109375" style="8" customWidth="1"/>
    <col min="5124" max="5376" width="9.109375" style="8"/>
    <col min="5377" max="5377" width="64.88671875" style="8" customWidth="1"/>
    <col min="5378" max="5378" width="58.33203125" style="8" customWidth="1"/>
    <col min="5379" max="5379" width="33.109375" style="8" customWidth="1"/>
    <col min="5380" max="5632" width="9.109375" style="8"/>
    <col min="5633" max="5633" width="64.88671875" style="8" customWidth="1"/>
    <col min="5634" max="5634" width="58.33203125" style="8" customWidth="1"/>
    <col min="5635" max="5635" width="33.109375" style="8" customWidth="1"/>
    <col min="5636" max="5888" width="9.109375" style="8"/>
    <col min="5889" max="5889" width="64.88671875" style="8" customWidth="1"/>
    <col min="5890" max="5890" width="58.33203125" style="8" customWidth="1"/>
    <col min="5891" max="5891" width="33.109375" style="8" customWidth="1"/>
    <col min="5892" max="6144" width="9.109375" style="8"/>
    <col min="6145" max="6145" width="64.88671875" style="8" customWidth="1"/>
    <col min="6146" max="6146" width="58.33203125" style="8" customWidth="1"/>
    <col min="6147" max="6147" width="33.109375" style="8" customWidth="1"/>
    <col min="6148" max="6400" width="9.109375" style="8"/>
    <col min="6401" max="6401" width="64.88671875" style="8" customWidth="1"/>
    <col min="6402" max="6402" width="58.33203125" style="8" customWidth="1"/>
    <col min="6403" max="6403" width="33.109375" style="8" customWidth="1"/>
    <col min="6404" max="6656" width="9.109375" style="8"/>
    <col min="6657" max="6657" width="64.88671875" style="8" customWidth="1"/>
    <col min="6658" max="6658" width="58.33203125" style="8" customWidth="1"/>
    <col min="6659" max="6659" width="33.109375" style="8" customWidth="1"/>
    <col min="6660" max="6912" width="9.109375" style="8"/>
    <col min="6913" max="6913" width="64.88671875" style="8" customWidth="1"/>
    <col min="6914" max="6914" width="58.33203125" style="8" customWidth="1"/>
    <col min="6915" max="6915" width="33.109375" style="8" customWidth="1"/>
    <col min="6916" max="7168" width="9.109375" style="8"/>
    <col min="7169" max="7169" width="64.88671875" style="8" customWidth="1"/>
    <col min="7170" max="7170" width="58.33203125" style="8" customWidth="1"/>
    <col min="7171" max="7171" width="33.109375" style="8" customWidth="1"/>
    <col min="7172" max="7424" width="9.109375" style="8"/>
    <col min="7425" max="7425" width="64.88671875" style="8" customWidth="1"/>
    <col min="7426" max="7426" width="58.33203125" style="8" customWidth="1"/>
    <col min="7427" max="7427" width="33.109375" style="8" customWidth="1"/>
    <col min="7428" max="7680" width="9.109375" style="8"/>
    <col min="7681" max="7681" width="64.88671875" style="8" customWidth="1"/>
    <col min="7682" max="7682" width="58.33203125" style="8" customWidth="1"/>
    <col min="7683" max="7683" width="33.109375" style="8" customWidth="1"/>
    <col min="7684" max="7936" width="9.109375" style="8"/>
    <col min="7937" max="7937" width="64.88671875" style="8" customWidth="1"/>
    <col min="7938" max="7938" width="58.33203125" style="8" customWidth="1"/>
    <col min="7939" max="7939" width="33.109375" style="8" customWidth="1"/>
    <col min="7940" max="8192" width="9.109375" style="8"/>
    <col min="8193" max="8193" width="64.88671875" style="8" customWidth="1"/>
    <col min="8194" max="8194" width="58.33203125" style="8" customWidth="1"/>
    <col min="8195" max="8195" width="33.109375" style="8" customWidth="1"/>
    <col min="8196" max="8448" width="9.109375" style="8"/>
    <col min="8449" max="8449" width="64.88671875" style="8" customWidth="1"/>
    <col min="8450" max="8450" width="58.33203125" style="8" customWidth="1"/>
    <col min="8451" max="8451" width="33.109375" style="8" customWidth="1"/>
    <col min="8452" max="8704" width="9.109375" style="8"/>
    <col min="8705" max="8705" width="64.88671875" style="8" customWidth="1"/>
    <col min="8706" max="8706" width="58.33203125" style="8" customWidth="1"/>
    <col min="8707" max="8707" width="33.109375" style="8" customWidth="1"/>
    <col min="8708" max="8960" width="9.109375" style="8"/>
    <col min="8961" max="8961" width="64.88671875" style="8" customWidth="1"/>
    <col min="8962" max="8962" width="58.33203125" style="8" customWidth="1"/>
    <col min="8963" max="8963" width="33.109375" style="8" customWidth="1"/>
    <col min="8964" max="9216" width="9.109375" style="8"/>
    <col min="9217" max="9217" width="64.88671875" style="8" customWidth="1"/>
    <col min="9218" max="9218" width="58.33203125" style="8" customWidth="1"/>
    <col min="9219" max="9219" width="33.109375" style="8" customWidth="1"/>
    <col min="9220" max="9472" width="9.109375" style="8"/>
    <col min="9473" max="9473" width="64.88671875" style="8" customWidth="1"/>
    <col min="9474" max="9474" width="58.33203125" style="8" customWidth="1"/>
    <col min="9475" max="9475" width="33.109375" style="8" customWidth="1"/>
    <col min="9476" max="9728" width="9.109375" style="8"/>
    <col min="9729" max="9729" width="64.88671875" style="8" customWidth="1"/>
    <col min="9730" max="9730" width="58.33203125" style="8" customWidth="1"/>
    <col min="9731" max="9731" width="33.109375" style="8" customWidth="1"/>
    <col min="9732" max="9984" width="9.109375" style="8"/>
    <col min="9985" max="9985" width="64.88671875" style="8" customWidth="1"/>
    <col min="9986" max="9986" width="58.33203125" style="8" customWidth="1"/>
    <col min="9987" max="9987" width="33.109375" style="8" customWidth="1"/>
    <col min="9988" max="10240" width="9.109375" style="8"/>
    <col min="10241" max="10241" width="64.88671875" style="8" customWidth="1"/>
    <col min="10242" max="10242" width="58.33203125" style="8" customWidth="1"/>
    <col min="10243" max="10243" width="33.109375" style="8" customWidth="1"/>
    <col min="10244" max="10496" width="9.109375" style="8"/>
    <col min="10497" max="10497" width="64.88671875" style="8" customWidth="1"/>
    <col min="10498" max="10498" width="58.33203125" style="8" customWidth="1"/>
    <col min="10499" max="10499" width="33.109375" style="8" customWidth="1"/>
    <col min="10500" max="10752" width="9.109375" style="8"/>
    <col min="10753" max="10753" width="64.88671875" style="8" customWidth="1"/>
    <col min="10754" max="10754" width="58.33203125" style="8" customWidth="1"/>
    <col min="10755" max="10755" width="33.109375" style="8" customWidth="1"/>
    <col min="10756" max="11008" width="9.109375" style="8"/>
    <col min="11009" max="11009" width="64.88671875" style="8" customWidth="1"/>
    <col min="11010" max="11010" width="58.33203125" style="8" customWidth="1"/>
    <col min="11011" max="11011" width="33.109375" style="8" customWidth="1"/>
    <col min="11012" max="11264" width="9.109375" style="8"/>
    <col min="11265" max="11265" width="64.88671875" style="8" customWidth="1"/>
    <col min="11266" max="11266" width="58.33203125" style="8" customWidth="1"/>
    <col min="11267" max="11267" width="33.109375" style="8" customWidth="1"/>
    <col min="11268" max="11520" width="9.109375" style="8"/>
    <col min="11521" max="11521" width="64.88671875" style="8" customWidth="1"/>
    <col min="11522" max="11522" width="58.33203125" style="8" customWidth="1"/>
    <col min="11523" max="11523" width="33.109375" style="8" customWidth="1"/>
    <col min="11524" max="11776" width="9.109375" style="8"/>
    <col min="11777" max="11777" width="64.88671875" style="8" customWidth="1"/>
    <col min="11778" max="11778" width="58.33203125" style="8" customWidth="1"/>
    <col min="11779" max="11779" width="33.109375" style="8" customWidth="1"/>
    <col min="11780" max="12032" width="9.109375" style="8"/>
    <col min="12033" max="12033" width="64.88671875" style="8" customWidth="1"/>
    <col min="12034" max="12034" width="58.33203125" style="8" customWidth="1"/>
    <col min="12035" max="12035" width="33.109375" style="8" customWidth="1"/>
    <col min="12036" max="12288" width="9.109375" style="8"/>
    <col min="12289" max="12289" width="64.88671875" style="8" customWidth="1"/>
    <col min="12290" max="12290" width="58.33203125" style="8" customWidth="1"/>
    <col min="12291" max="12291" width="33.109375" style="8" customWidth="1"/>
    <col min="12292" max="12544" width="9.109375" style="8"/>
    <col min="12545" max="12545" width="64.88671875" style="8" customWidth="1"/>
    <col min="12546" max="12546" width="58.33203125" style="8" customWidth="1"/>
    <col min="12547" max="12547" width="33.109375" style="8" customWidth="1"/>
    <col min="12548" max="12800" width="9.109375" style="8"/>
    <col min="12801" max="12801" width="64.88671875" style="8" customWidth="1"/>
    <col min="12802" max="12802" width="58.33203125" style="8" customWidth="1"/>
    <col min="12803" max="12803" width="33.109375" style="8" customWidth="1"/>
    <col min="12804" max="13056" width="9.109375" style="8"/>
    <col min="13057" max="13057" width="64.88671875" style="8" customWidth="1"/>
    <col min="13058" max="13058" width="58.33203125" style="8" customWidth="1"/>
    <col min="13059" max="13059" width="33.109375" style="8" customWidth="1"/>
    <col min="13060" max="13312" width="9.109375" style="8"/>
    <col min="13313" max="13313" width="64.88671875" style="8" customWidth="1"/>
    <col min="13314" max="13314" width="58.33203125" style="8" customWidth="1"/>
    <col min="13315" max="13315" width="33.109375" style="8" customWidth="1"/>
    <col min="13316" max="13568" width="9.109375" style="8"/>
    <col min="13569" max="13569" width="64.88671875" style="8" customWidth="1"/>
    <col min="13570" max="13570" width="58.33203125" style="8" customWidth="1"/>
    <col min="13571" max="13571" width="33.109375" style="8" customWidth="1"/>
    <col min="13572" max="13824" width="9.109375" style="8"/>
    <col min="13825" max="13825" width="64.88671875" style="8" customWidth="1"/>
    <col min="13826" max="13826" width="58.33203125" style="8" customWidth="1"/>
    <col min="13827" max="13827" width="33.109375" style="8" customWidth="1"/>
    <col min="13828" max="14080" width="9.109375" style="8"/>
    <col min="14081" max="14081" width="64.88671875" style="8" customWidth="1"/>
    <col min="14082" max="14082" width="58.33203125" style="8" customWidth="1"/>
    <col min="14083" max="14083" width="33.109375" style="8" customWidth="1"/>
    <col min="14084" max="14336" width="9.109375" style="8"/>
    <col min="14337" max="14337" width="64.88671875" style="8" customWidth="1"/>
    <col min="14338" max="14338" width="58.33203125" style="8" customWidth="1"/>
    <col min="14339" max="14339" width="33.109375" style="8" customWidth="1"/>
    <col min="14340" max="14592" width="9.109375" style="8"/>
    <col min="14593" max="14593" width="64.88671875" style="8" customWidth="1"/>
    <col min="14594" max="14594" width="58.33203125" style="8" customWidth="1"/>
    <col min="14595" max="14595" width="33.109375" style="8" customWidth="1"/>
    <col min="14596" max="14848" width="9.109375" style="8"/>
    <col min="14849" max="14849" width="64.88671875" style="8" customWidth="1"/>
    <col min="14850" max="14850" width="58.33203125" style="8" customWidth="1"/>
    <col min="14851" max="14851" width="33.109375" style="8" customWidth="1"/>
    <col min="14852" max="15104" width="9.109375" style="8"/>
    <col min="15105" max="15105" width="64.88671875" style="8" customWidth="1"/>
    <col min="15106" max="15106" width="58.33203125" style="8" customWidth="1"/>
    <col min="15107" max="15107" width="33.109375" style="8" customWidth="1"/>
    <col min="15108" max="15360" width="9.109375" style="8"/>
    <col min="15361" max="15361" width="64.88671875" style="8" customWidth="1"/>
    <col min="15362" max="15362" width="58.33203125" style="8" customWidth="1"/>
    <col min="15363" max="15363" width="33.109375" style="8" customWidth="1"/>
    <col min="15364" max="15616" width="9.109375" style="8"/>
    <col min="15617" max="15617" width="64.88671875" style="8" customWidth="1"/>
    <col min="15618" max="15618" width="58.33203125" style="8" customWidth="1"/>
    <col min="15619" max="15619" width="33.109375" style="8" customWidth="1"/>
    <col min="15620" max="15872" width="9.109375" style="8"/>
    <col min="15873" max="15873" width="64.88671875" style="8" customWidth="1"/>
    <col min="15874" max="15874" width="58.33203125" style="8" customWidth="1"/>
    <col min="15875" max="15875" width="33.109375" style="8" customWidth="1"/>
    <col min="15876" max="16128" width="9.109375" style="8"/>
    <col min="16129" max="16129" width="64.88671875" style="8" customWidth="1"/>
    <col min="16130" max="16130" width="58.33203125" style="8" customWidth="1"/>
    <col min="16131" max="16131" width="33.109375" style="8" customWidth="1"/>
    <col min="16132" max="16384" width="9.109375" style="8"/>
  </cols>
  <sheetData>
    <row r="1" spans="1:3" x14ac:dyDescent="0.25">
      <c r="A1" s="618" t="s">
        <v>966</v>
      </c>
      <c r="B1" s="618"/>
      <c r="C1" s="618"/>
    </row>
    <row r="2" spans="1:3" x14ac:dyDescent="0.25">
      <c r="A2" s="385"/>
      <c r="B2" s="385"/>
      <c r="C2" s="385"/>
    </row>
    <row r="3" spans="1:3" ht="15.6" x14ac:dyDescent="0.3">
      <c r="A3" s="386" t="s">
        <v>687</v>
      </c>
      <c r="B3" s="386"/>
      <c r="C3" s="386"/>
    </row>
    <row r="4" spans="1:3" ht="15.6" x14ac:dyDescent="0.3">
      <c r="A4" s="387"/>
      <c r="B4" s="387"/>
      <c r="C4" s="387"/>
    </row>
    <row r="5" spans="1:3" ht="15.6" x14ac:dyDescent="0.3">
      <c r="A5" s="388" t="s">
        <v>688</v>
      </c>
      <c r="B5" s="389" t="s">
        <v>689</v>
      </c>
      <c r="C5" s="390" t="s">
        <v>690</v>
      </c>
    </row>
    <row r="6" spans="1:3" ht="15.6" x14ac:dyDescent="0.3">
      <c r="A6" s="391" t="s">
        <v>691</v>
      </c>
      <c r="B6" s="392" t="s">
        <v>692</v>
      </c>
      <c r="C6" s="393">
        <v>14394</v>
      </c>
    </row>
    <row r="7" spans="1:3" ht="15.6" x14ac:dyDescent="0.3">
      <c r="A7" s="391" t="s">
        <v>693</v>
      </c>
      <c r="B7" s="392" t="s">
        <v>694</v>
      </c>
      <c r="C7" s="393">
        <v>13153</v>
      </c>
    </row>
    <row r="8" spans="1:3" ht="15.6" x14ac:dyDescent="0.3">
      <c r="A8" s="394" t="s">
        <v>695</v>
      </c>
      <c r="B8" s="395" t="s">
        <v>696</v>
      </c>
      <c r="C8" s="396">
        <v>17100</v>
      </c>
    </row>
    <row r="9" spans="1:3" ht="31.2" x14ac:dyDescent="0.3">
      <c r="A9" s="394" t="s">
        <v>697</v>
      </c>
      <c r="B9" s="395" t="s">
        <v>698</v>
      </c>
      <c r="C9" s="396">
        <v>1000</v>
      </c>
    </row>
    <row r="10" spans="1:3" ht="15.6" x14ac:dyDescent="0.3">
      <c r="A10" s="394" t="s">
        <v>699</v>
      </c>
      <c r="B10" s="395" t="s">
        <v>700</v>
      </c>
      <c r="C10" s="396">
        <v>3590</v>
      </c>
    </row>
    <row r="11" spans="1:3" ht="31.2" x14ac:dyDescent="0.3">
      <c r="A11" s="394" t="s">
        <v>701</v>
      </c>
      <c r="B11" s="392" t="s">
        <v>702</v>
      </c>
      <c r="C11" s="393">
        <v>11000</v>
      </c>
    </row>
    <row r="12" spans="1:3" ht="8.25" customHeight="1" x14ac:dyDescent="0.3">
      <c r="A12" s="387"/>
      <c r="B12" s="387"/>
      <c r="C12" s="387"/>
    </row>
    <row r="13" spans="1:3" ht="15.6" x14ac:dyDescent="0.3">
      <c r="A13" s="397" t="s">
        <v>703</v>
      </c>
      <c r="B13" s="387"/>
      <c r="C13" s="387"/>
    </row>
    <row r="14" spans="1:3" ht="15.6" x14ac:dyDescent="0.3">
      <c r="A14" s="397" t="s">
        <v>704</v>
      </c>
      <c r="B14" s="387"/>
      <c r="C14" s="387"/>
    </row>
    <row r="15" spans="1:3" ht="37.5" customHeight="1" x14ac:dyDescent="0.25">
      <c r="A15" s="617" t="s">
        <v>705</v>
      </c>
      <c r="B15" s="617"/>
      <c r="C15" s="617"/>
    </row>
    <row r="16" spans="1:3" ht="51" customHeight="1" x14ac:dyDescent="0.25">
      <c r="A16" s="617" t="s">
        <v>706</v>
      </c>
      <c r="B16" s="617"/>
      <c r="C16" s="617"/>
    </row>
    <row r="17" spans="1:3" ht="9.75" customHeight="1" x14ac:dyDescent="0.3">
      <c r="A17" s="397"/>
      <c r="B17" s="387"/>
      <c r="C17" s="387"/>
    </row>
    <row r="18" spans="1:3" ht="15.6" x14ac:dyDescent="0.3">
      <c r="A18" s="397" t="s">
        <v>707</v>
      </c>
      <c r="B18" s="387"/>
      <c r="C18" s="387"/>
    </row>
    <row r="19" spans="1:3" ht="8.25" customHeight="1" x14ac:dyDescent="0.3">
      <c r="B19" s="387"/>
      <c r="C19" s="387"/>
    </row>
    <row r="20" spans="1:3" x14ac:dyDescent="0.25">
      <c r="A20" s="619" t="s">
        <v>708</v>
      </c>
      <c r="B20" s="619"/>
      <c r="C20" s="619"/>
    </row>
    <row r="21" spans="1:3" ht="25.5" customHeight="1" x14ac:dyDescent="0.25">
      <c r="A21" s="617" t="s">
        <v>709</v>
      </c>
      <c r="B21" s="617"/>
      <c r="C21" s="617"/>
    </row>
    <row r="22" spans="1:3" x14ac:dyDescent="0.25">
      <c r="A22" s="8" t="s">
        <v>926</v>
      </c>
    </row>
    <row r="23" spans="1:3" ht="25.5" customHeight="1" x14ac:dyDescent="0.25">
      <c r="A23" s="617" t="s">
        <v>710</v>
      </c>
      <c r="B23" s="617"/>
      <c r="C23" s="617"/>
    </row>
    <row r="24" spans="1:3" x14ac:dyDescent="0.25">
      <c r="A24" s="617" t="s">
        <v>711</v>
      </c>
      <c r="B24" s="617"/>
      <c r="C24" s="617"/>
    </row>
    <row r="25" spans="1:3" x14ac:dyDescent="0.25">
      <c r="A25" s="617" t="s">
        <v>712</v>
      </c>
      <c r="B25" s="620"/>
      <c r="C25" s="620"/>
    </row>
    <row r="26" spans="1:3" x14ac:dyDescent="0.25">
      <c r="A26" s="617" t="s">
        <v>713</v>
      </c>
      <c r="B26" s="620"/>
      <c r="C26" s="620"/>
    </row>
    <row r="27" spans="1:3" x14ac:dyDescent="0.25">
      <c r="A27" s="398"/>
      <c r="B27" s="398"/>
      <c r="C27" s="398"/>
    </row>
    <row r="28" spans="1:3" x14ac:dyDescent="0.25">
      <c r="A28" s="399" t="s">
        <v>714</v>
      </c>
      <c r="B28" s="398"/>
      <c r="C28" s="398"/>
    </row>
    <row r="29" spans="1:3" ht="24.75" customHeight="1" x14ac:dyDescent="0.25">
      <c r="A29" s="617" t="s">
        <v>946</v>
      </c>
      <c r="B29" s="617"/>
      <c r="C29" s="617"/>
    </row>
    <row r="30" spans="1:3" x14ac:dyDescent="0.25">
      <c r="A30" s="398"/>
      <c r="B30" s="398"/>
      <c r="C30" s="398"/>
    </row>
    <row r="31" spans="1:3" x14ac:dyDescent="0.25">
      <c r="A31" s="400" t="s">
        <v>715</v>
      </c>
    </row>
    <row r="32" spans="1:3" x14ac:dyDescent="0.25">
      <c r="A32" s="617" t="s">
        <v>716</v>
      </c>
      <c r="B32" s="617"/>
      <c r="C32" s="617"/>
    </row>
    <row r="33" spans="1:3" x14ac:dyDescent="0.25">
      <c r="A33" s="8" t="s">
        <v>717</v>
      </c>
    </row>
    <row r="35" spans="1:3" x14ac:dyDescent="0.25">
      <c r="A35" s="397" t="s">
        <v>718</v>
      </c>
      <c r="B35" s="397"/>
      <c r="C35" s="397"/>
    </row>
    <row r="36" spans="1:3" ht="26.25" customHeight="1" x14ac:dyDescent="0.25">
      <c r="A36" s="617" t="s">
        <v>719</v>
      </c>
      <c r="B36" s="617"/>
      <c r="C36" s="617"/>
    </row>
    <row r="38" spans="1:3" x14ac:dyDescent="0.25">
      <c r="A38" s="397" t="s">
        <v>720</v>
      </c>
      <c r="B38" s="397"/>
      <c r="C38" s="397"/>
    </row>
    <row r="39" spans="1:3" x14ac:dyDescent="0.25">
      <c r="A39" s="397"/>
      <c r="B39" s="397"/>
      <c r="C39" s="397"/>
    </row>
    <row r="40" spans="1:3" x14ac:dyDescent="0.25">
      <c r="A40" s="401" t="s">
        <v>721</v>
      </c>
      <c r="B40" s="401" t="s">
        <v>722</v>
      </c>
      <c r="C40" s="401" t="s">
        <v>723</v>
      </c>
    </row>
    <row r="41" spans="1:3" ht="66" x14ac:dyDescent="0.25">
      <c r="A41" s="402" t="s">
        <v>724</v>
      </c>
      <c r="B41" s="402" t="s">
        <v>725</v>
      </c>
      <c r="C41" s="402" t="s">
        <v>726</v>
      </c>
    </row>
    <row r="42" spans="1:3" ht="79.2" x14ac:dyDescent="0.25">
      <c r="A42" s="402" t="s">
        <v>727</v>
      </c>
      <c r="B42" s="402" t="s">
        <v>728</v>
      </c>
      <c r="C42" s="402" t="s">
        <v>729</v>
      </c>
    </row>
    <row r="43" spans="1:3" ht="132" x14ac:dyDescent="0.25">
      <c r="A43" s="10" t="s">
        <v>730</v>
      </c>
      <c r="B43" s="402" t="s">
        <v>731</v>
      </c>
      <c r="C43" s="402" t="s">
        <v>732</v>
      </c>
    </row>
    <row r="44" spans="1:3" ht="52.8" x14ac:dyDescent="0.25">
      <c r="A44" s="402" t="s">
        <v>733</v>
      </c>
      <c r="B44" s="402" t="s">
        <v>734</v>
      </c>
      <c r="C44" s="402" t="s">
        <v>735</v>
      </c>
    </row>
    <row r="45" spans="1:3" ht="26.4" x14ac:dyDescent="0.25">
      <c r="A45" s="402" t="s">
        <v>736</v>
      </c>
      <c r="B45" s="402" t="s">
        <v>737</v>
      </c>
      <c r="C45" s="10" t="s">
        <v>738</v>
      </c>
    </row>
    <row r="46" spans="1:3" ht="52.8" x14ac:dyDescent="0.25">
      <c r="A46" s="10" t="s">
        <v>739</v>
      </c>
      <c r="B46" s="402" t="s">
        <v>740</v>
      </c>
      <c r="C46" s="10" t="s">
        <v>741</v>
      </c>
    </row>
    <row r="47" spans="1:3" ht="66" x14ac:dyDescent="0.25">
      <c r="A47" s="10" t="s">
        <v>742</v>
      </c>
      <c r="B47" s="402" t="s">
        <v>743</v>
      </c>
      <c r="C47" s="402" t="s">
        <v>729</v>
      </c>
    </row>
    <row r="48" spans="1:3" ht="52.8" x14ac:dyDescent="0.25">
      <c r="A48" s="10" t="s">
        <v>744</v>
      </c>
      <c r="B48" s="402" t="s">
        <v>745</v>
      </c>
      <c r="C48" s="402" t="s">
        <v>746</v>
      </c>
    </row>
    <row r="49" spans="1:3" ht="250.8" x14ac:dyDescent="0.25">
      <c r="A49" s="10" t="s">
        <v>747</v>
      </c>
      <c r="B49" s="402" t="s">
        <v>950</v>
      </c>
      <c r="C49" s="402" t="s">
        <v>748</v>
      </c>
    </row>
    <row r="50" spans="1:3" ht="39.6" x14ac:dyDescent="0.25">
      <c r="A50" s="402" t="s">
        <v>924</v>
      </c>
      <c r="B50" s="402" t="s">
        <v>925</v>
      </c>
      <c r="C50" s="403" t="s">
        <v>749</v>
      </c>
    </row>
    <row r="51" spans="1:3" ht="66" x14ac:dyDescent="0.25">
      <c r="A51" s="402" t="s">
        <v>750</v>
      </c>
      <c r="B51" s="402" t="s">
        <v>751</v>
      </c>
      <c r="C51" s="403" t="s">
        <v>752</v>
      </c>
    </row>
    <row r="52" spans="1:3" ht="79.2" x14ac:dyDescent="0.25">
      <c r="A52" s="10" t="s">
        <v>753</v>
      </c>
      <c r="B52" s="402" t="s">
        <v>754</v>
      </c>
      <c r="C52" s="402" t="s">
        <v>755</v>
      </c>
    </row>
    <row r="53" spans="1:3" ht="92.4" x14ac:dyDescent="0.25">
      <c r="A53" s="402" t="s">
        <v>756</v>
      </c>
      <c r="B53" s="402" t="s">
        <v>757</v>
      </c>
      <c r="C53" s="402" t="s">
        <v>758</v>
      </c>
    </row>
    <row r="54" spans="1:3" ht="52.8" x14ac:dyDescent="0.25">
      <c r="A54" s="404" t="s">
        <v>759</v>
      </c>
      <c r="B54" s="405" t="s">
        <v>760</v>
      </c>
      <c r="C54" s="406" t="s">
        <v>761</v>
      </c>
    </row>
    <row r="55" spans="1:3" ht="132" x14ac:dyDescent="0.25">
      <c r="A55" s="402" t="s">
        <v>762</v>
      </c>
      <c r="B55" s="402" t="s">
        <v>763</v>
      </c>
      <c r="C55" s="10" t="s">
        <v>764</v>
      </c>
    </row>
    <row r="56" spans="1:3" ht="52.8" x14ac:dyDescent="0.25">
      <c r="A56" s="10" t="s">
        <v>765</v>
      </c>
      <c r="B56" s="402" t="s">
        <v>766</v>
      </c>
      <c r="C56" s="10" t="s">
        <v>767</v>
      </c>
    </row>
    <row r="57" spans="1:3" ht="52.8" x14ac:dyDescent="0.25">
      <c r="A57" s="10" t="s">
        <v>768</v>
      </c>
      <c r="B57" s="402" t="s">
        <v>769</v>
      </c>
      <c r="C57" s="10" t="s">
        <v>770</v>
      </c>
    </row>
    <row r="58" spans="1:3" ht="79.2" x14ac:dyDescent="0.25">
      <c r="A58" s="402" t="s">
        <v>771</v>
      </c>
      <c r="B58" s="402" t="s">
        <v>772</v>
      </c>
      <c r="C58" s="402" t="s">
        <v>773</v>
      </c>
    </row>
  </sheetData>
  <mergeCells count="12">
    <mergeCell ref="A36:C36"/>
    <mergeCell ref="A1:C1"/>
    <mergeCell ref="A15:C15"/>
    <mergeCell ref="A16:C16"/>
    <mergeCell ref="A20:C20"/>
    <mergeCell ref="A21:C21"/>
    <mergeCell ref="A23:C23"/>
    <mergeCell ref="A24:C24"/>
    <mergeCell ref="A25:C25"/>
    <mergeCell ref="A26:C26"/>
    <mergeCell ref="A29:C29"/>
    <mergeCell ref="A32:C32"/>
  </mergeCells>
  <pageMargins left="0.7" right="0.7" top="0.75" bottom="0.75" header="0.3" footer="0.3"/>
  <pageSetup paperSize="9" scale="5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EF4A-AD85-46D7-BB32-4D601606A280}">
  <sheetPr>
    <pageSetUpPr fitToPage="1"/>
  </sheetPr>
  <dimension ref="A1:Q42"/>
  <sheetViews>
    <sheetView view="pageBreakPreview" topLeftCell="A12" zoomScaleNormal="100" zoomScaleSheetLayoutView="100" workbookViewId="0">
      <selection activeCell="B16" sqref="B15:B16"/>
    </sheetView>
  </sheetViews>
  <sheetFormatPr defaultColWidth="8" defaultRowHeight="13.2" x14ac:dyDescent="0.25"/>
  <cols>
    <col min="1" max="1" width="2.88671875" style="407" customWidth="1"/>
    <col min="2" max="2" width="32.44140625" style="407" bestFit="1" customWidth="1"/>
    <col min="3" max="3" width="9.88671875" style="407" bestFit="1" customWidth="1"/>
    <col min="4" max="4" width="8.88671875" style="407" bestFit="1" customWidth="1"/>
    <col min="5" max="5" width="12.5546875" style="407" customWidth="1"/>
    <col min="6" max="6" width="8.6640625" style="407" customWidth="1"/>
    <col min="7" max="7" width="12.33203125" style="407" customWidth="1"/>
    <col min="8" max="8" width="13.33203125" style="407" customWidth="1"/>
    <col min="9" max="9" width="9.6640625" style="407" customWidth="1"/>
    <col min="10" max="10" width="8.88671875" style="407" bestFit="1" customWidth="1"/>
    <col min="11" max="13" width="8.44140625" style="407" bestFit="1" customWidth="1"/>
    <col min="14" max="14" width="8.88671875" style="407" customWidth="1"/>
    <col min="15" max="15" width="13.44140625" style="407" customWidth="1"/>
    <col min="16" max="16" width="10.109375" style="407" bestFit="1" customWidth="1"/>
    <col min="17" max="17" width="8" style="408"/>
    <col min="18" max="256" width="8" style="407"/>
    <col min="257" max="257" width="2.88671875" style="407" customWidth="1"/>
    <col min="258" max="258" width="32.44140625" style="407" bestFit="1" customWidth="1"/>
    <col min="259" max="259" width="9.88671875" style="407" bestFit="1" customWidth="1"/>
    <col min="260" max="260" width="8.88671875" style="407" bestFit="1" customWidth="1"/>
    <col min="261" max="261" width="7.44140625" style="407" bestFit="1" customWidth="1"/>
    <col min="262" max="262" width="8.6640625" style="407" customWidth="1"/>
    <col min="263" max="263" width="8" style="407" bestFit="1" customWidth="1"/>
    <col min="264" max="265" width="7.44140625" style="407" bestFit="1" customWidth="1"/>
    <col min="266" max="266" width="8.88671875" style="407" bestFit="1" customWidth="1"/>
    <col min="267" max="270" width="8.44140625" style="407" bestFit="1" customWidth="1"/>
    <col min="271" max="271" width="8.88671875" style="407" customWidth="1"/>
    <col min="272" max="272" width="10.109375" style="407" bestFit="1" customWidth="1"/>
    <col min="273" max="512" width="8" style="407"/>
    <col min="513" max="513" width="2.88671875" style="407" customWidth="1"/>
    <col min="514" max="514" width="32.44140625" style="407" bestFit="1" customWidth="1"/>
    <col min="515" max="515" width="9.88671875" style="407" bestFit="1" customWidth="1"/>
    <col min="516" max="516" width="8.88671875" style="407" bestFit="1" customWidth="1"/>
    <col min="517" max="517" width="7.44140625" style="407" bestFit="1" customWidth="1"/>
    <col min="518" max="518" width="8.6640625" style="407" customWidth="1"/>
    <col min="519" max="519" width="8" style="407" bestFit="1" customWidth="1"/>
    <col min="520" max="521" width="7.44140625" style="407" bestFit="1" customWidth="1"/>
    <col min="522" max="522" width="8.88671875" style="407" bestFit="1" customWidth="1"/>
    <col min="523" max="526" width="8.44140625" style="407" bestFit="1" customWidth="1"/>
    <col min="527" max="527" width="8.88671875" style="407" customWidth="1"/>
    <col min="528" max="528" width="10.109375" style="407" bestFit="1" customWidth="1"/>
    <col min="529" max="768" width="8" style="407"/>
    <col min="769" max="769" width="2.88671875" style="407" customWidth="1"/>
    <col min="770" max="770" width="32.44140625" style="407" bestFit="1" customWidth="1"/>
    <col min="771" max="771" width="9.88671875" style="407" bestFit="1" customWidth="1"/>
    <col min="772" max="772" width="8.88671875" style="407" bestFit="1" customWidth="1"/>
    <col min="773" max="773" width="7.44140625" style="407" bestFit="1" customWidth="1"/>
    <col min="774" max="774" width="8.6640625" style="407" customWidth="1"/>
    <col min="775" max="775" width="8" style="407" bestFit="1" customWidth="1"/>
    <col min="776" max="777" width="7.44140625" style="407" bestFit="1" customWidth="1"/>
    <col min="778" max="778" width="8.88671875" style="407" bestFit="1" customWidth="1"/>
    <col min="779" max="782" width="8.44140625" style="407" bestFit="1" customWidth="1"/>
    <col min="783" max="783" width="8.88671875" style="407" customWidth="1"/>
    <col min="784" max="784" width="10.109375" style="407" bestFit="1" customWidth="1"/>
    <col min="785" max="1024" width="8" style="407"/>
    <col min="1025" max="1025" width="2.88671875" style="407" customWidth="1"/>
    <col min="1026" max="1026" width="32.44140625" style="407" bestFit="1" customWidth="1"/>
    <col min="1027" max="1027" width="9.88671875" style="407" bestFit="1" customWidth="1"/>
    <col min="1028" max="1028" width="8.88671875" style="407" bestFit="1" customWidth="1"/>
    <col min="1029" max="1029" width="7.44140625" style="407" bestFit="1" customWidth="1"/>
    <col min="1030" max="1030" width="8.6640625" style="407" customWidth="1"/>
    <col min="1031" max="1031" width="8" style="407" bestFit="1" customWidth="1"/>
    <col min="1032" max="1033" width="7.44140625" style="407" bestFit="1" customWidth="1"/>
    <col min="1034" max="1034" width="8.88671875" style="407" bestFit="1" customWidth="1"/>
    <col min="1035" max="1038" width="8.44140625" style="407" bestFit="1" customWidth="1"/>
    <col min="1039" max="1039" width="8.88671875" style="407" customWidth="1"/>
    <col min="1040" max="1040" width="10.109375" style="407" bestFit="1" customWidth="1"/>
    <col min="1041" max="1280" width="8" style="407"/>
    <col min="1281" max="1281" width="2.88671875" style="407" customWidth="1"/>
    <col min="1282" max="1282" width="32.44140625" style="407" bestFit="1" customWidth="1"/>
    <col min="1283" max="1283" width="9.88671875" style="407" bestFit="1" customWidth="1"/>
    <col min="1284" max="1284" width="8.88671875" style="407" bestFit="1" customWidth="1"/>
    <col min="1285" max="1285" width="7.44140625" style="407" bestFit="1" customWidth="1"/>
    <col min="1286" max="1286" width="8.6640625" style="407" customWidth="1"/>
    <col min="1287" max="1287" width="8" style="407" bestFit="1" customWidth="1"/>
    <col min="1288" max="1289" width="7.44140625" style="407" bestFit="1" customWidth="1"/>
    <col min="1290" max="1290" width="8.88671875" style="407" bestFit="1" customWidth="1"/>
    <col min="1291" max="1294" width="8.44140625" style="407" bestFit="1" customWidth="1"/>
    <col min="1295" max="1295" width="8.88671875" style="407" customWidth="1"/>
    <col min="1296" max="1296" width="10.109375" style="407" bestFit="1" customWidth="1"/>
    <col min="1297" max="1536" width="8" style="407"/>
    <col min="1537" max="1537" width="2.88671875" style="407" customWidth="1"/>
    <col min="1538" max="1538" width="32.44140625" style="407" bestFit="1" customWidth="1"/>
    <col min="1539" max="1539" width="9.88671875" style="407" bestFit="1" customWidth="1"/>
    <col min="1540" max="1540" width="8.88671875" style="407" bestFit="1" customWidth="1"/>
    <col min="1541" max="1541" width="7.44140625" style="407" bestFit="1" customWidth="1"/>
    <col min="1542" max="1542" width="8.6640625" style="407" customWidth="1"/>
    <col min="1543" max="1543" width="8" style="407" bestFit="1" customWidth="1"/>
    <col min="1544" max="1545" width="7.44140625" style="407" bestFit="1" customWidth="1"/>
    <col min="1546" max="1546" width="8.88671875" style="407" bestFit="1" customWidth="1"/>
    <col min="1547" max="1550" width="8.44140625" style="407" bestFit="1" customWidth="1"/>
    <col min="1551" max="1551" width="8.88671875" style="407" customWidth="1"/>
    <col min="1552" max="1552" width="10.109375" style="407" bestFit="1" customWidth="1"/>
    <col min="1553" max="1792" width="8" style="407"/>
    <col min="1793" max="1793" width="2.88671875" style="407" customWidth="1"/>
    <col min="1794" max="1794" width="32.44140625" style="407" bestFit="1" customWidth="1"/>
    <col min="1795" max="1795" width="9.88671875" style="407" bestFit="1" customWidth="1"/>
    <col min="1796" max="1796" width="8.88671875" style="407" bestFit="1" customWidth="1"/>
    <col min="1797" max="1797" width="7.44140625" style="407" bestFit="1" customWidth="1"/>
    <col min="1798" max="1798" width="8.6640625" style="407" customWidth="1"/>
    <col min="1799" max="1799" width="8" style="407" bestFit="1" customWidth="1"/>
    <col min="1800" max="1801" width="7.44140625" style="407" bestFit="1" customWidth="1"/>
    <col min="1802" max="1802" width="8.88671875" style="407" bestFit="1" customWidth="1"/>
    <col min="1803" max="1806" width="8.44140625" style="407" bestFit="1" customWidth="1"/>
    <col min="1807" max="1807" width="8.88671875" style="407" customWidth="1"/>
    <col min="1808" max="1808" width="10.109375" style="407" bestFit="1" customWidth="1"/>
    <col min="1809" max="2048" width="8" style="407"/>
    <col min="2049" max="2049" width="2.88671875" style="407" customWidth="1"/>
    <col min="2050" max="2050" width="32.44140625" style="407" bestFit="1" customWidth="1"/>
    <col min="2051" max="2051" width="9.88671875" style="407" bestFit="1" customWidth="1"/>
    <col min="2052" max="2052" width="8.88671875" style="407" bestFit="1" customWidth="1"/>
    <col min="2053" max="2053" width="7.44140625" style="407" bestFit="1" customWidth="1"/>
    <col min="2054" max="2054" width="8.6640625" style="407" customWidth="1"/>
    <col min="2055" max="2055" width="8" style="407" bestFit="1" customWidth="1"/>
    <col min="2056" max="2057" width="7.44140625" style="407" bestFit="1" customWidth="1"/>
    <col min="2058" max="2058" width="8.88671875" style="407" bestFit="1" customWidth="1"/>
    <col min="2059" max="2062" width="8.44140625" style="407" bestFit="1" customWidth="1"/>
    <col min="2063" max="2063" width="8.88671875" style="407" customWidth="1"/>
    <col min="2064" max="2064" width="10.109375" style="407" bestFit="1" customWidth="1"/>
    <col min="2065" max="2304" width="8" style="407"/>
    <col min="2305" max="2305" width="2.88671875" style="407" customWidth="1"/>
    <col min="2306" max="2306" width="32.44140625" style="407" bestFit="1" customWidth="1"/>
    <col min="2307" max="2307" width="9.88671875" style="407" bestFit="1" customWidth="1"/>
    <col min="2308" max="2308" width="8.88671875" style="407" bestFit="1" customWidth="1"/>
    <col min="2309" max="2309" width="7.44140625" style="407" bestFit="1" customWidth="1"/>
    <col min="2310" max="2310" width="8.6640625" style="407" customWidth="1"/>
    <col min="2311" max="2311" width="8" style="407" bestFit="1" customWidth="1"/>
    <col min="2312" max="2313" width="7.44140625" style="407" bestFit="1" customWidth="1"/>
    <col min="2314" max="2314" width="8.88671875" style="407" bestFit="1" customWidth="1"/>
    <col min="2315" max="2318" width="8.44140625" style="407" bestFit="1" customWidth="1"/>
    <col min="2319" max="2319" width="8.88671875" style="407" customWidth="1"/>
    <col min="2320" max="2320" width="10.109375" style="407" bestFit="1" customWidth="1"/>
    <col min="2321" max="2560" width="8" style="407"/>
    <col min="2561" max="2561" width="2.88671875" style="407" customWidth="1"/>
    <col min="2562" max="2562" width="32.44140625" style="407" bestFit="1" customWidth="1"/>
    <col min="2563" max="2563" width="9.88671875" style="407" bestFit="1" customWidth="1"/>
    <col min="2564" max="2564" width="8.88671875" style="407" bestFit="1" customWidth="1"/>
    <col min="2565" max="2565" width="7.44140625" style="407" bestFit="1" customWidth="1"/>
    <col min="2566" max="2566" width="8.6640625" style="407" customWidth="1"/>
    <col min="2567" max="2567" width="8" style="407" bestFit="1" customWidth="1"/>
    <col min="2568" max="2569" width="7.44140625" style="407" bestFit="1" customWidth="1"/>
    <col min="2570" max="2570" width="8.88671875" style="407" bestFit="1" customWidth="1"/>
    <col min="2571" max="2574" width="8.44140625" style="407" bestFit="1" customWidth="1"/>
    <col min="2575" max="2575" width="8.88671875" style="407" customWidth="1"/>
    <col min="2576" max="2576" width="10.109375" style="407" bestFit="1" customWidth="1"/>
    <col min="2577" max="2816" width="8" style="407"/>
    <col min="2817" max="2817" width="2.88671875" style="407" customWidth="1"/>
    <col min="2818" max="2818" width="32.44140625" style="407" bestFit="1" customWidth="1"/>
    <col min="2819" max="2819" width="9.88671875" style="407" bestFit="1" customWidth="1"/>
    <col min="2820" max="2820" width="8.88671875" style="407" bestFit="1" customWidth="1"/>
    <col min="2821" max="2821" width="7.44140625" style="407" bestFit="1" customWidth="1"/>
    <col min="2822" max="2822" width="8.6640625" style="407" customWidth="1"/>
    <col min="2823" max="2823" width="8" style="407" bestFit="1" customWidth="1"/>
    <col min="2824" max="2825" width="7.44140625" style="407" bestFit="1" customWidth="1"/>
    <col min="2826" max="2826" width="8.88671875" style="407" bestFit="1" customWidth="1"/>
    <col min="2827" max="2830" width="8.44140625" style="407" bestFit="1" customWidth="1"/>
    <col min="2831" max="2831" width="8.88671875" style="407" customWidth="1"/>
    <col min="2832" max="2832" width="10.109375" style="407" bestFit="1" customWidth="1"/>
    <col min="2833" max="3072" width="8" style="407"/>
    <col min="3073" max="3073" width="2.88671875" style="407" customWidth="1"/>
    <col min="3074" max="3074" width="32.44140625" style="407" bestFit="1" customWidth="1"/>
    <col min="3075" max="3075" width="9.88671875" style="407" bestFit="1" customWidth="1"/>
    <col min="3076" max="3076" width="8.88671875" style="407" bestFit="1" customWidth="1"/>
    <col min="3077" max="3077" width="7.44140625" style="407" bestFit="1" customWidth="1"/>
    <col min="3078" max="3078" width="8.6640625" style="407" customWidth="1"/>
    <col min="3079" max="3079" width="8" style="407" bestFit="1" customWidth="1"/>
    <col min="3080" max="3081" width="7.44140625" style="407" bestFit="1" customWidth="1"/>
    <col min="3082" max="3082" width="8.88671875" style="407" bestFit="1" customWidth="1"/>
    <col min="3083" max="3086" width="8.44140625" style="407" bestFit="1" customWidth="1"/>
    <col min="3087" max="3087" width="8.88671875" style="407" customWidth="1"/>
    <col min="3088" max="3088" width="10.109375" style="407" bestFit="1" customWidth="1"/>
    <col min="3089" max="3328" width="8" style="407"/>
    <col min="3329" max="3329" width="2.88671875" style="407" customWidth="1"/>
    <col min="3330" max="3330" width="32.44140625" style="407" bestFit="1" customWidth="1"/>
    <col min="3331" max="3331" width="9.88671875" style="407" bestFit="1" customWidth="1"/>
    <col min="3332" max="3332" width="8.88671875" style="407" bestFit="1" customWidth="1"/>
    <col min="3333" max="3333" width="7.44140625" style="407" bestFit="1" customWidth="1"/>
    <col min="3334" max="3334" width="8.6640625" style="407" customWidth="1"/>
    <col min="3335" max="3335" width="8" style="407" bestFit="1" customWidth="1"/>
    <col min="3336" max="3337" width="7.44140625" style="407" bestFit="1" customWidth="1"/>
    <col min="3338" max="3338" width="8.88671875" style="407" bestFit="1" customWidth="1"/>
    <col min="3339" max="3342" width="8.44140625" style="407" bestFit="1" customWidth="1"/>
    <col min="3343" max="3343" width="8.88671875" style="407" customWidth="1"/>
    <col min="3344" max="3344" width="10.109375" style="407" bestFit="1" customWidth="1"/>
    <col min="3345" max="3584" width="8" style="407"/>
    <col min="3585" max="3585" width="2.88671875" style="407" customWidth="1"/>
    <col min="3586" max="3586" width="32.44140625" style="407" bestFit="1" customWidth="1"/>
    <col min="3587" max="3587" width="9.88671875" style="407" bestFit="1" customWidth="1"/>
    <col min="3588" max="3588" width="8.88671875" style="407" bestFit="1" customWidth="1"/>
    <col min="3589" max="3589" width="7.44140625" style="407" bestFit="1" customWidth="1"/>
    <col min="3590" max="3590" width="8.6640625" style="407" customWidth="1"/>
    <col min="3591" max="3591" width="8" style="407" bestFit="1" customWidth="1"/>
    <col min="3592" max="3593" width="7.44140625" style="407" bestFit="1" customWidth="1"/>
    <col min="3594" max="3594" width="8.88671875" style="407" bestFit="1" customWidth="1"/>
    <col min="3595" max="3598" width="8.44140625" style="407" bestFit="1" customWidth="1"/>
    <col min="3599" max="3599" width="8.88671875" style="407" customWidth="1"/>
    <col min="3600" max="3600" width="10.109375" style="407" bestFit="1" customWidth="1"/>
    <col min="3601" max="3840" width="8" style="407"/>
    <col min="3841" max="3841" width="2.88671875" style="407" customWidth="1"/>
    <col min="3842" max="3842" width="32.44140625" style="407" bestFit="1" customWidth="1"/>
    <col min="3843" max="3843" width="9.88671875" style="407" bestFit="1" customWidth="1"/>
    <col min="3844" max="3844" width="8.88671875" style="407" bestFit="1" customWidth="1"/>
    <col min="3845" max="3845" width="7.44140625" style="407" bestFit="1" customWidth="1"/>
    <col min="3846" max="3846" width="8.6640625" style="407" customWidth="1"/>
    <col min="3847" max="3847" width="8" style="407" bestFit="1" customWidth="1"/>
    <col min="3848" max="3849" width="7.44140625" style="407" bestFit="1" customWidth="1"/>
    <col min="3850" max="3850" width="8.88671875" style="407" bestFit="1" customWidth="1"/>
    <col min="3851" max="3854" width="8.44140625" style="407" bestFit="1" customWidth="1"/>
    <col min="3855" max="3855" width="8.88671875" style="407" customWidth="1"/>
    <col min="3856" max="3856" width="10.109375" style="407" bestFit="1" customWidth="1"/>
    <col min="3857" max="4096" width="8" style="407"/>
    <col min="4097" max="4097" width="2.88671875" style="407" customWidth="1"/>
    <col min="4098" max="4098" width="32.44140625" style="407" bestFit="1" customWidth="1"/>
    <col min="4099" max="4099" width="9.88671875" style="407" bestFit="1" customWidth="1"/>
    <col min="4100" max="4100" width="8.88671875" style="407" bestFit="1" customWidth="1"/>
    <col min="4101" max="4101" width="7.44140625" style="407" bestFit="1" customWidth="1"/>
    <col min="4102" max="4102" width="8.6640625" style="407" customWidth="1"/>
    <col min="4103" max="4103" width="8" style="407" bestFit="1" customWidth="1"/>
    <col min="4104" max="4105" width="7.44140625" style="407" bestFit="1" customWidth="1"/>
    <col min="4106" max="4106" width="8.88671875" style="407" bestFit="1" customWidth="1"/>
    <col min="4107" max="4110" width="8.44140625" style="407" bestFit="1" customWidth="1"/>
    <col min="4111" max="4111" width="8.88671875" style="407" customWidth="1"/>
    <col min="4112" max="4112" width="10.109375" style="407" bestFit="1" customWidth="1"/>
    <col min="4113" max="4352" width="8" style="407"/>
    <col min="4353" max="4353" width="2.88671875" style="407" customWidth="1"/>
    <col min="4354" max="4354" width="32.44140625" style="407" bestFit="1" customWidth="1"/>
    <col min="4355" max="4355" width="9.88671875" style="407" bestFit="1" customWidth="1"/>
    <col min="4356" max="4356" width="8.88671875" style="407" bestFit="1" customWidth="1"/>
    <col min="4357" max="4357" width="7.44140625" style="407" bestFit="1" customWidth="1"/>
    <col min="4358" max="4358" width="8.6640625" style="407" customWidth="1"/>
    <col min="4359" max="4359" width="8" style="407" bestFit="1" customWidth="1"/>
    <col min="4360" max="4361" width="7.44140625" style="407" bestFit="1" customWidth="1"/>
    <col min="4362" max="4362" width="8.88671875" style="407" bestFit="1" customWidth="1"/>
    <col min="4363" max="4366" width="8.44140625" style="407" bestFit="1" customWidth="1"/>
    <col min="4367" max="4367" width="8.88671875" style="407" customWidth="1"/>
    <col min="4368" max="4368" width="10.109375" style="407" bestFit="1" customWidth="1"/>
    <col min="4369" max="4608" width="8" style="407"/>
    <col min="4609" max="4609" width="2.88671875" style="407" customWidth="1"/>
    <col min="4610" max="4610" width="32.44140625" style="407" bestFit="1" customWidth="1"/>
    <col min="4611" max="4611" width="9.88671875" style="407" bestFit="1" customWidth="1"/>
    <col min="4612" max="4612" width="8.88671875" style="407" bestFit="1" customWidth="1"/>
    <col min="4613" max="4613" width="7.44140625" style="407" bestFit="1" customWidth="1"/>
    <col min="4614" max="4614" width="8.6640625" style="407" customWidth="1"/>
    <col min="4615" max="4615" width="8" style="407" bestFit="1" customWidth="1"/>
    <col min="4616" max="4617" width="7.44140625" style="407" bestFit="1" customWidth="1"/>
    <col min="4618" max="4618" width="8.88671875" style="407" bestFit="1" customWidth="1"/>
    <col min="4619" max="4622" width="8.44140625" style="407" bestFit="1" customWidth="1"/>
    <col min="4623" max="4623" width="8.88671875" style="407" customWidth="1"/>
    <col min="4624" max="4624" width="10.109375" style="407" bestFit="1" customWidth="1"/>
    <col min="4625" max="4864" width="8" style="407"/>
    <col min="4865" max="4865" width="2.88671875" style="407" customWidth="1"/>
    <col min="4866" max="4866" width="32.44140625" style="407" bestFit="1" customWidth="1"/>
    <col min="4867" max="4867" width="9.88671875" style="407" bestFit="1" customWidth="1"/>
    <col min="4868" max="4868" width="8.88671875" style="407" bestFit="1" customWidth="1"/>
    <col min="4869" max="4869" width="7.44140625" style="407" bestFit="1" customWidth="1"/>
    <col min="4870" max="4870" width="8.6640625" style="407" customWidth="1"/>
    <col min="4871" max="4871" width="8" style="407" bestFit="1" customWidth="1"/>
    <col min="4872" max="4873" width="7.44140625" style="407" bestFit="1" customWidth="1"/>
    <col min="4874" max="4874" width="8.88671875" style="407" bestFit="1" customWidth="1"/>
    <col min="4875" max="4878" width="8.44140625" style="407" bestFit="1" customWidth="1"/>
    <col min="4879" max="4879" width="8.88671875" style="407" customWidth="1"/>
    <col min="4880" max="4880" width="10.109375" style="407" bestFit="1" customWidth="1"/>
    <col min="4881" max="5120" width="8" style="407"/>
    <col min="5121" max="5121" width="2.88671875" style="407" customWidth="1"/>
    <col min="5122" max="5122" width="32.44140625" style="407" bestFit="1" customWidth="1"/>
    <col min="5123" max="5123" width="9.88671875" style="407" bestFit="1" customWidth="1"/>
    <col min="5124" max="5124" width="8.88671875" style="407" bestFit="1" customWidth="1"/>
    <col min="5125" max="5125" width="7.44140625" style="407" bestFit="1" customWidth="1"/>
    <col min="5126" max="5126" width="8.6640625" style="407" customWidth="1"/>
    <col min="5127" max="5127" width="8" style="407" bestFit="1" customWidth="1"/>
    <col min="5128" max="5129" width="7.44140625" style="407" bestFit="1" customWidth="1"/>
    <col min="5130" max="5130" width="8.88671875" style="407" bestFit="1" customWidth="1"/>
    <col min="5131" max="5134" width="8.44140625" style="407" bestFit="1" customWidth="1"/>
    <col min="5135" max="5135" width="8.88671875" style="407" customWidth="1"/>
    <col min="5136" max="5136" width="10.109375" style="407" bestFit="1" customWidth="1"/>
    <col min="5137" max="5376" width="8" style="407"/>
    <col min="5377" max="5377" width="2.88671875" style="407" customWidth="1"/>
    <col min="5378" max="5378" width="32.44140625" style="407" bestFit="1" customWidth="1"/>
    <col min="5379" max="5379" width="9.88671875" style="407" bestFit="1" customWidth="1"/>
    <col min="5380" max="5380" width="8.88671875" style="407" bestFit="1" customWidth="1"/>
    <col min="5381" max="5381" width="7.44140625" style="407" bestFit="1" customWidth="1"/>
    <col min="5382" max="5382" width="8.6640625" style="407" customWidth="1"/>
    <col min="5383" max="5383" width="8" style="407" bestFit="1" customWidth="1"/>
    <col min="5384" max="5385" width="7.44140625" style="407" bestFit="1" customWidth="1"/>
    <col min="5386" max="5386" width="8.88671875" style="407" bestFit="1" customWidth="1"/>
    <col min="5387" max="5390" width="8.44140625" style="407" bestFit="1" customWidth="1"/>
    <col min="5391" max="5391" width="8.88671875" style="407" customWidth="1"/>
    <col min="5392" max="5392" width="10.109375" style="407" bestFit="1" customWidth="1"/>
    <col min="5393" max="5632" width="8" style="407"/>
    <col min="5633" max="5633" width="2.88671875" style="407" customWidth="1"/>
    <col min="5634" max="5634" width="32.44140625" style="407" bestFit="1" customWidth="1"/>
    <col min="5635" max="5635" width="9.88671875" style="407" bestFit="1" customWidth="1"/>
    <col min="5636" max="5636" width="8.88671875" style="407" bestFit="1" customWidth="1"/>
    <col min="5637" max="5637" width="7.44140625" style="407" bestFit="1" customWidth="1"/>
    <col min="5638" max="5638" width="8.6640625" style="407" customWidth="1"/>
    <col min="5639" max="5639" width="8" style="407" bestFit="1" customWidth="1"/>
    <col min="5640" max="5641" width="7.44140625" style="407" bestFit="1" customWidth="1"/>
    <col min="5642" max="5642" width="8.88671875" style="407" bestFit="1" customWidth="1"/>
    <col min="5643" max="5646" width="8.44140625" style="407" bestFit="1" customWidth="1"/>
    <col min="5647" max="5647" width="8.88671875" style="407" customWidth="1"/>
    <col min="5648" max="5648" width="10.109375" style="407" bestFit="1" customWidth="1"/>
    <col min="5649" max="5888" width="8" style="407"/>
    <col min="5889" max="5889" width="2.88671875" style="407" customWidth="1"/>
    <col min="5890" max="5890" width="32.44140625" style="407" bestFit="1" customWidth="1"/>
    <col min="5891" max="5891" width="9.88671875" style="407" bestFit="1" customWidth="1"/>
    <col min="5892" max="5892" width="8.88671875" style="407" bestFit="1" customWidth="1"/>
    <col min="5893" max="5893" width="7.44140625" style="407" bestFit="1" customWidth="1"/>
    <col min="5894" max="5894" width="8.6640625" style="407" customWidth="1"/>
    <col min="5895" max="5895" width="8" style="407" bestFit="1" customWidth="1"/>
    <col min="5896" max="5897" width="7.44140625" style="407" bestFit="1" customWidth="1"/>
    <col min="5898" max="5898" width="8.88671875" style="407" bestFit="1" customWidth="1"/>
    <col min="5899" max="5902" width="8.44140625" style="407" bestFit="1" customWidth="1"/>
    <col min="5903" max="5903" width="8.88671875" style="407" customWidth="1"/>
    <col min="5904" max="5904" width="10.109375" style="407" bestFit="1" customWidth="1"/>
    <col min="5905" max="6144" width="8" style="407"/>
    <col min="6145" max="6145" width="2.88671875" style="407" customWidth="1"/>
    <col min="6146" max="6146" width="32.44140625" style="407" bestFit="1" customWidth="1"/>
    <col min="6147" max="6147" width="9.88671875" style="407" bestFit="1" customWidth="1"/>
    <col min="6148" max="6148" width="8.88671875" style="407" bestFit="1" customWidth="1"/>
    <col min="6149" max="6149" width="7.44140625" style="407" bestFit="1" customWidth="1"/>
    <col min="6150" max="6150" width="8.6640625" style="407" customWidth="1"/>
    <col min="6151" max="6151" width="8" style="407" bestFit="1" customWidth="1"/>
    <col min="6152" max="6153" width="7.44140625" style="407" bestFit="1" customWidth="1"/>
    <col min="6154" max="6154" width="8.88671875" style="407" bestFit="1" customWidth="1"/>
    <col min="6155" max="6158" width="8.44140625" style="407" bestFit="1" customWidth="1"/>
    <col min="6159" max="6159" width="8.88671875" style="407" customWidth="1"/>
    <col min="6160" max="6160" width="10.109375" style="407" bestFit="1" customWidth="1"/>
    <col min="6161" max="6400" width="8" style="407"/>
    <col min="6401" max="6401" width="2.88671875" style="407" customWidth="1"/>
    <col min="6402" max="6402" width="32.44140625" style="407" bestFit="1" customWidth="1"/>
    <col min="6403" max="6403" width="9.88671875" style="407" bestFit="1" customWidth="1"/>
    <col min="6404" max="6404" width="8.88671875" style="407" bestFit="1" customWidth="1"/>
    <col min="6405" max="6405" width="7.44140625" style="407" bestFit="1" customWidth="1"/>
    <col min="6406" max="6406" width="8.6640625" style="407" customWidth="1"/>
    <col min="6407" max="6407" width="8" style="407" bestFit="1" customWidth="1"/>
    <col min="6408" max="6409" width="7.44140625" style="407" bestFit="1" customWidth="1"/>
    <col min="6410" max="6410" width="8.88671875" style="407" bestFit="1" customWidth="1"/>
    <col min="6411" max="6414" width="8.44140625" style="407" bestFit="1" customWidth="1"/>
    <col min="6415" max="6415" width="8.88671875" style="407" customWidth="1"/>
    <col min="6416" max="6416" width="10.109375" style="407" bestFit="1" customWidth="1"/>
    <col min="6417" max="6656" width="8" style="407"/>
    <col min="6657" max="6657" width="2.88671875" style="407" customWidth="1"/>
    <col min="6658" max="6658" width="32.44140625" style="407" bestFit="1" customWidth="1"/>
    <col min="6659" max="6659" width="9.88671875" style="407" bestFit="1" customWidth="1"/>
    <col min="6660" max="6660" width="8.88671875" style="407" bestFit="1" customWidth="1"/>
    <col min="6661" max="6661" width="7.44140625" style="407" bestFit="1" customWidth="1"/>
    <col min="6662" max="6662" width="8.6640625" style="407" customWidth="1"/>
    <col min="6663" max="6663" width="8" style="407" bestFit="1" customWidth="1"/>
    <col min="6664" max="6665" width="7.44140625" style="407" bestFit="1" customWidth="1"/>
    <col min="6666" max="6666" width="8.88671875" style="407" bestFit="1" customWidth="1"/>
    <col min="6667" max="6670" width="8.44140625" style="407" bestFit="1" customWidth="1"/>
    <col min="6671" max="6671" width="8.88671875" style="407" customWidth="1"/>
    <col min="6672" max="6672" width="10.109375" style="407" bestFit="1" customWidth="1"/>
    <col min="6673" max="6912" width="8" style="407"/>
    <col min="6913" max="6913" width="2.88671875" style="407" customWidth="1"/>
    <col min="6914" max="6914" width="32.44140625" style="407" bestFit="1" customWidth="1"/>
    <col min="6915" max="6915" width="9.88671875" style="407" bestFit="1" customWidth="1"/>
    <col min="6916" max="6916" width="8.88671875" style="407" bestFit="1" customWidth="1"/>
    <col min="6917" max="6917" width="7.44140625" style="407" bestFit="1" customWidth="1"/>
    <col min="6918" max="6918" width="8.6640625" style="407" customWidth="1"/>
    <col min="6919" max="6919" width="8" style="407" bestFit="1" customWidth="1"/>
    <col min="6920" max="6921" width="7.44140625" style="407" bestFit="1" customWidth="1"/>
    <col min="6922" max="6922" width="8.88671875" style="407" bestFit="1" customWidth="1"/>
    <col min="6923" max="6926" width="8.44140625" style="407" bestFit="1" customWidth="1"/>
    <col min="6927" max="6927" width="8.88671875" style="407" customWidth="1"/>
    <col min="6928" max="6928" width="10.109375" style="407" bestFit="1" customWidth="1"/>
    <col min="6929" max="7168" width="8" style="407"/>
    <col min="7169" max="7169" width="2.88671875" style="407" customWidth="1"/>
    <col min="7170" max="7170" width="32.44140625" style="407" bestFit="1" customWidth="1"/>
    <col min="7171" max="7171" width="9.88671875" style="407" bestFit="1" customWidth="1"/>
    <col min="7172" max="7172" width="8.88671875" style="407" bestFit="1" customWidth="1"/>
    <col min="7173" max="7173" width="7.44140625" style="407" bestFit="1" customWidth="1"/>
    <col min="7174" max="7174" width="8.6640625" style="407" customWidth="1"/>
    <col min="7175" max="7175" width="8" style="407" bestFit="1" customWidth="1"/>
    <col min="7176" max="7177" width="7.44140625" style="407" bestFit="1" customWidth="1"/>
    <col min="7178" max="7178" width="8.88671875" style="407" bestFit="1" customWidth="1"/>
    <col min="7179" max="7182" width="8.44140625" style="407" bestFit="1" customWidth="1"/>
    <col min="7183" max="7183" width="8.88671875" style="407" customWidth="1"/>
    <col min="7184" max="7184" width="10.109375" style="407" bestFit="1" customWidth="1"/>
    <col min="7185" max="7424" width="8" style="407"/>
    <col min="7425" max="7425" width="2.88671875" style="407" customWidth="1"/>
    <col min="7426" max="7426" width="32.44140625" style="407" bestFit="1" customWidth="1"/>
    <col min="7427" max="7427" width="9.88671875" style="407" bestFit="1" customWidth="1"/>
    <col min="7428" max="7428" width="8.88671875" style="407" bestFit="1" customWidth="1"/>
    <col min="7429" max="7429" width="7.44140625" style="407" bestFit="1" customWidth="1"/>
    <col min="7430" max="7430" width="8.6640625" style="407" customWidth="1"/>
    <col min="7431" max="7431" width="8" style="407" bestFit="1" customWidth="1"/>
    <col min="7432" max="7433" width="7.44140625" style="407" bestFit="1" customWidth="1"/>
    <col min="7434" max="7434" width="8.88671875" style="407" bestFit="1" customWidth="1"/>
    <col min="7435" max="7438" width="8.44140625" style="407" bestFit="1" customWidth="1"/>
    <col min="7439" max="7439" width="8.88671875" style="407" customWidth="1"/>
    <col min="7440" max="7440" width="10.109375" style="407" bestFit="1" customWidth="1"/>
    <col min="7441" max="7680" width="8" style="407"/>
    <col min="7681" max="7681" width="2.88671875" style="407" customWidth="1"/>
    <col min="7682" max="7682" width="32.44140625" style="407" bestFit="1" customWidth="1"/>
    <col min="7683" max="7683" width="9.88671875" style="407" bestFit="1" customWidth="1"/>
    <col min="7684" max="7684" width="8.88671875" style="407" bestFit="1" customWidth="1"/>
    <col min="7685" max="7685" width="7.44140625" style="407" bestFit="1" customWidth="1"/>
    <col min="7686" max="7686" width="8.6640625" style="407" customWidth="1"/>
    <col min="7687" max="7687" width="8" style="407" bestFit="1" customWidth="1"/>
    <col min="7688" max="7689" width="7.44140625" style="407" bestFit="1" customWidth="1"/>
    <col min="7690" max="7690" width="8.88671875" style="407" bestFit="1" customWidth="1"/>
    <col min="7691" max="7694" width="8.44140625" style="407" bestFit="1" customWidth="1"/>
    <col min="7695" max="7695" width="8.88671875" style="407" customWidth="1"/>
    <col min="7696" max="7696" width="10.109375" style="407" bestFit="1" customWidth="1"/>
    <col min="7697" max="7936" width="8" style="407"/>
    <col min="7937" max="7937" width="2.88671875" style="407" customWidth="1"/>
    <col min="7938" max="7938" width="32.44140625" style="407" bestFit="1" customWidth="1"/>
    <col min="7939" max="7939" width="9.88671875" style="407" bestFit="1" customWidth="1"/>
    <col min="7940" max="7940" width="8.88671875" style="407" bestFit="1" customWidth="1"/>
    <col min="7941" max="7941" width="7.44140625" style="407" bestFit="1" customWidth="1"/>
    <col min="7942" max="7942" width="8.6640625" style="407" customWidth="1"/>
    <col min="7943" max="7943" width="8" style="407" bestFit="1" customWidth="1"/>
    <col min="7944" max="7945" width="7.44140625" style="407" bestFit="1" customWidth="1"/>
    <col min="7946" max="7946" width="8.88671875" style="407" bestFit="1" customWidth="1"/>
    <col min="7947" max="7950" width="8.44140625" style="407" bestFit="1" customWidth="1"/>
    <col min="7951" max="7951" width="8.88671875" style="407" customWidth="1"/>
    <col min="7952" max="7952" width="10.109375" style="407" bestFit="1" customWidth="1"/>
    <col min="7953" max="8192" width="8" style="407"/>
    <col min="8193" max="8193" width="2.88671875" style="407" customWidth="1"/>
    <col min="8194" max="8194" width="32.44140625" style="407" bestFit="1" customWidth="1"/>
    <col min="8195" max="8195" width="9.88671875" style="407" bestFit="1" customWidth="1"/>
    <col min="8196" max="8196" width="8.88671875" style="407" bestFit="1" customWidth="1"/>
    <col min="8197" max="8197" width="7.44140625" style="407" bestFit="1" customWidth="1"/>
    <col min="8198" max="8198" width="8.6640625" style="407" customWidth="1"/>
    <col min="8199" max="8199" width="8" style="407" bestFit="1" customWidth="1"/>
    <col min="8200" max="8201" width="7.44140625" style="407" bestFit="1" customWidth="1"/>
    <col min="8202" max="8202" width="8.88671875" style="407" bestFit="1" customWidth="1"/>
    <col min="8203" max="8206" width="8.44140625" style="407" bestFit="1" customWidth="1"/>
    <col min="8207" max="8207" width="8.88671875" style="407" customWidth="1"/>
    <col min="8208" max="8208" width="10.109375" style="407" bestFit="1" customWidth="1"/>
    <col min="8209" max="8448" width="8" style="407"/>
    <col min="8449" max="8449" width="2.88671875" style="407" customWidth="1"/>
    <col min="8450" max="8450" width="32.44140625" style="407" bestFit="1" customWidth="1"/>
    <col min="8451" max="8451" width="9.88671875" style="407" bestFit="1" customWidth="1"/>
    <col min="8452" max="8452" width="8.88671875" style="407" bestFit="1" customWidth="1"/>
    <col min="8453" max="8453" width="7.44140625" style="407" bestFit="1" customWidth="1"/>
    <col min="8454" max="8454" width="8.6640625" style="407" customWidth="1"/>
    <col min="8455" max="8455" width="8" style="407" bestFit="1" customWidth="1"/>
    <col min="8456" max="8457" width="7.44140625" style="407" bestFit="1" customWidth="1"/>
    <col min="8458" max="8458" width="8.88671875" style="407" bestFit="1" customWidth="1"/>
    <col min="8459" max="8462" width="8.44140625" style="407" bestFit="1" customWidth="1"/>
    <col min="8463" max="8463" width="8.88671875" style="407" customWidth="1"/>
    <col min="8464" max="8464" width="10.109375" style="407" bestFit="1" customWidth="1"/>
    <col min="8465" max="8704" width="8" style="407"/>
    <col min="8705" max="8705" width="2.88671875" style="407" customWidth="1"/>
    <col min="8706" max="8706" width="32.44140625" style="407" bestFit="1" customWidth="1"/>
    <col min="8707" max="8707" width="9.88671875" style="407" bestFit="1" customWidth="1"/>
    <col min="8708" max="8708" width="8.88671875" style="407" bestFit="1" customWidth="1"/>
    <col min="8709" max="8709" width="7.44140625" style="407" bestFit="1" customWidth="1"/>
    <col min="8710" max="8710" width="8.6640625" style="407" customWidth="1"/>
    <col min="8711" max="8711" width="8" style="407" bestFit="1" customWidth="1"/>
    <col min="8712" max="8713" width="7.44140625" style="407" bestFit="1" customWidth="1"/>
    <col min="8714" max="8714" width="8.88671875" style="407" bestFit="1" customWidth="1"/>
    <col min="8715" max="8718" width="8.44140625" style="407" bestFit="1" customWidth="1"/>
    <col min="8719" max="8719" width="8.88671875" style="407" customWidth="1"/>
    <col min="8720" max="8720" width="10.109375" style="407" bestFit="1" customWidth="1"/>
    <col min="8721" max="8960" width="8" style="407"/>
    <col min="8961" max="8961" width="2.88671875" style="407" customWidth="1"/>
    <col min="8962" max="8962" width="32.44140625" style="407" bestFit="1" customWidth="1"/>
    <col min="8963" max="8963" width="9.88671875" style="407" bestFit="1" customWidth="1"/>
    <col min="8964" max="8964" width="8.88671875" style="407" bestFit="1" customWidth="1"/>
    <col min="8965" max="8965" width="7.44140625" style="407" bestFit="1" customWidth="1"/>
    <col min="8966" max="8966" width="8.6640625" style="407" customWidth="1"/>
    <col min="8967" max="8967" width="8" style="407" bestFit="1" customWidth="1"/>
    <col min="8968" max="8969" width="7.44140625" style="407" bestFit="1" customWidth="1"/>
    <col min="8970" max="8970" width="8.88671875" style="407" bestFit="1" customWidth="1"/>
    <col min="8971" max="8974" width="8.44140625" style="407" bestFit="1" customWidth="1"/>
    <col min="8975" max="8975" width="8.88671875" style="407" customWidth="1"/>
    <col min="8976" max="8976" width="10.109375" style="407" bestFit="1" customWidth="1"/>
    <col min="8977" max="9216" width="8" style="407"/>
    <col min="9217" max="9217" width="2.88671875" style="407" customWidth="1"/>
    <col min="9218" max="9218" width="32.44140625" style="407" bestFit="1" customWidth="1"/>
    <col min="9219" max="9219" width="9.88671875" style="407" bestFit="1" customWidth="1"/>
    <col min="9220" max="9220" width="8.88671875" style="407" bestFit="1" customWidth="1"/>
    <col min="9221" max="9221" width="7.44140625" style="407" bestFit="1" customWidth="1"/>
    <col min="9222" max="9222" width="8.6640625" style="407" customWidth="1"/>
    <col min="9223" max="9223" width="8" style="407" bestFit="1" customWidth="1"/>
    <col min="9224" max="9225" width="7.44140625" style="407" bestFit="1" customWidth="1"/>
    <col min="9226" max="9226" width="8.88671875" style="407" bestFit="1" customWidth="1"/>
    <col min="9227" max="9230" width="8.44140625" style="407" bestFit="1" customWidth="1"/>
    <col min="9231" max="9231" width="8.88671875" style="407" customWidth="1"/>
    <col min="9232" max="9232" width="10.109375" style="407" bestFit="1" customWidth="1"/>
    <col min="9233" max="9472" width="8" style="407"/>
    <col min="9473" max="9473" width="2.88671875" style="407" customWidth="1"/>
    <col min="9474" max="9474" width="32.44140625" style="407" bestFit="1" customWidth="1"/>
    <col min="9475" max="9475" width="9.88671875" style="407" bestFit="1" customWidth="1"/>
    <col min="9476" max="9476" width="8.88671875" style="407" bestFit="1" customWidth="1"/>
    <col min="9477" max="9477" width="7.44140625" style="407" bestFit="1" customWidth="1"/>
    <col min="9478" max="9478" width="8.6640625" style="407" customWidth="1"/>
    <col min="9479" max="9479" width="8" style="407" bestFit="1" customWidth="1"/>
    <col min="9480" max="9481" width="7.44140625" style="407" bestFit="1" customWidth="1"/>
    <col min="9482" max="9482" width="8.88671875" style="407" bestFit="1" customWidth="1"/>
    <col min="9483" max="9486" width="8.44140625" style="407" bestFit="1" customWidth="1"/>
    <col min="9487" max="9487" width="8.88671875" style="407" customWidth="1"/>
    <col min="9488" max="9488" width="10.109375" style="407" bestFit="1" customWidth="1"/>
    <col min="9489" max="9728" width="8" style="407"/>
    <col min="9729" max="9729" width="2.88671875" style="407" customWidth="1"/>
    <col min="9730" max="9730" width="32.44140625" style="407" bestFit="1" customWidth="1"/>
    <col min="9731" max="9731" width="9.88671875" style="407" bestFit="1" customWidth="1"/>
    <col min="9732" max="9732" width="8.88671875" style="407" bestFit="1" customWidth="1"/>
    <col min="9733" max="9733" width="7.44140625" style="407" bestFit="1" customWidth="1"/>
    <col min="9734" max="9734" width="8.6640625" style="407" customWidth="1"/>
    <col min="9735" max="9735" width="8" style="407" bestFit="1" customWidth="1"/>
    <col min="9736" max="9737" width="7.44140625" style="407" bestFit="1" customWidth="1"/>
    <col min="9738" max="9738" width="8.88671875" style="407" bestFit="1" customWidth="1"/>
    <col min="9739" max="9742" width="8.44140625" style="407" bestFit="1" customWidth="1"/>
    <col min="9743" max="9743" width="8.88671875" style="407" customWidth="1"/>
    <col min="9744" max="9744" width="10.109375" style="407" bestFit="1" customWidth="1"/>
    <col min="9745" max="9984" width="8" style="407"/>
    <col min="9985" max="9985" width="2.88671875" style="407" customWidth="1"/>
    <col min="9986" max="9986" width="32.44140625" style="407" bestFit="1" customWidth="1"/>
    <col min="9987" max="9987" width="9.88671875" style="407" bestFit="1" customWidth="1"/>
    <col min="9988" max="9988" width="8.88671875" style="407" bestFit="1" customWidth="1"/>
    <col min="9989" max="9989" width="7.44140625" style="407" bestFit="1" customWidth="1"/>
    <col min="9990" max="9990" width="8.6640625" style="407" customWidth="1"/>
    <col min="9991" max="9991" width="8" style="407" bestFit="1" customWidth="1"/>
    <col min="9992" max="9993" width="7.44140625" style="407" bestFit="1" customWidth="1"/>
    <col min="9994" max="9994" width="8.88671875" style="407" bestFit="1" customWidth="1"/>
    <col min="9995" max="9998" width="8.44140625" style="407" bestFit="1" customWidth="1"/>
    <col min="9999" max="9999" width="8.88671875" style="407" customWidth="1"/>
    <col min="10000" max="10000" width="10.109375" style="407" bestFit="1" customWidth="1"/>
    <col min="10001" max="10240" width="8" style="407"/>
    <col min="10241" max="10241" width="2.88671875" style="407" customWidth="1"/>
    <col min="10242" max="10242" width="32.44140625" style="407" bestFit="1" customWidth="1"/>
    <col min="10243" max="10243" width="9.88671875" style="407" bestFit="1" customWidth="1"/>
    <col min="10244" max="10244" width="8.88671875" style="407" bestFit="1" customWidth="1"/>
    <col min="10245" max="10245" width="7.44140625" style="407" bestFit="1" customWidth="1"/>
    <col min="10246" max="10246" width="8.6640625" style="407" customWidth="1"/>
    <col min="10247" max="10247" width="8" style="407" bestFit="1" customWidth="1"/>
    <col min="10248" max="10249" width="7.44140625" style="407" bestFit="1" customWidth="1"/>
    <col min="10250" max="10250" width="8.88671875" style="407" bestFit="1" customWidth="1"/>
    <col min="10251" max="10254" width="8.44140625" style="407" bestFit="1" customWidth="1"/>
    <col min="10255" max="10255" width="8.88671875" style="407" customWidth="1"/>
    <col min="10256" max="10256" width="10.109375" style="407" bestFit="1" customWidth="1"/>
    <col min="10257" max="10496" width="8" style="407"/>
    <col min="10497" max="10497" width="2.88671875" style="407" customWidth="1"/>
    <col min="10498" max="10498" width="32.44140625" style="407" bestFit="1" customWidth="1"/>
    <col min="10499" max="10499" width="9.88671875" style="407" bestFit="1" customWidth="1"/>
    <col min="10500" max="10500" width="8.88671875" style="407" bestFit="1" customWidth="1"/>
    <col min="10501" max="10501" width="7.44140625" style="407" bestFit="1" customWidth="1"/>
    <col min="10502" max="10502" width="8.6640625" style="407" customWidth="1"/>
    <col min="10503" max="10503" width="8" style="407" bestFit="1" customWidth="1"/>
    <col min="10504" max="10505" width="7.44140625" style="407" bestFit="1" customWidth="1"/>
    <col min="10506" max="10506" width="8.88671875" style="407" bestFit="1" customWidth="1"/>
    <col min="10507" max="10510" width="8.44140625" style="407" bestFit="1" customWidth="1"/>
    <col min="10511" max="10511" width="8.88671875" style="407" customWidth="1"/>
    <col min="10512" max="10512" width="10.109375" style="407" bestFit="1" customWidth="1"/>
    <col min="10513" max="10752" width="8" style="407"/>
    <col min="10753" max="10753" width="2.88671875" style="407" customWidth="1"/>
    <col min="10754" max="10754" width="32.44140625" style="407" bestFit="1" customWidth="1"/>
    <col min="10755" max="10755" width="9.88671875" style="407" bestFit="1" customWidth="1"/>
    <col min="10756" max="10756" width="8.88671875" style="407" bestFit="1" customWidth="1"/>
    <col min="10757" max="10757" width="7.44140625" style="407" bestFit="1" customWidth="1"/>
    <col min="10758" max="10758" width="8.6640625" style="407" customWidth="1"/>
    <col min="10759" max="10759" width="8" style="407" bestFit="1" customWidth="1"/>
    <col min="10760" max="10761" width="7.44140625" style="407" bestFit="1" customWidth="1"/>
    <col min="10762" max="10762" width="8.88671875" style="407" bestFit="1" customWidth="1"/>
    <col min="10763" max="10766" width="8.44140625" style="407" bestFit="1" customWidth="1"/>
    <col min="10767" max="10767" width="8.88671875" style="407" customWidth="1"/>
    <col min="10768" max="10768" width="10.109375" style="407" bestFit="1" customWidth="1"/>
    <col min="10769" max="11008" width="8" style="407"/>
    <col min="11009" max="11009" width="2.88671875" style="407" customWidth="1"/>
    <col min="11010" max="11010" width="32.44140625" style="407" bestFit="1" customWidth="1"/>
    <col min="11011" max="11011" width="9.88671875" style="407" bestFit="1" customWidth="1"/>
    <col min="11012" max="11012" width="8.88671875" style="407" bestFit="1" customWidth="1"/>
    <col min="11013" max="11013" width="7.44140625" style="407" bestFit="1" customWidth="1"/>
    <col min="11014" max="11014" width="8.6640625" style="407" customWidth="1"/>
    <col min="11015" max="11015" width="8" style="407" bestFit="1" customWidth="1"/>
    <col min="11016" max="11017" width="7.44140625" style="407" bestFit="1" customWidth="1"/>
    <col min="11018" max="11018" width="8.88671875" style="407" bestFit="1" customWidth="1"/>
    <col min="11019" max="11022" width="8.44140625" style="407" bestFit="1" customWidth="1"/>
    <col min="11023" max="11023" width="8.88671875" style="407" customWidth="1"/>
    <col min="11024" max="11024" width="10.109375" style="407" bestFit="1" customWidth="1"/>
    <col min="11025" max="11264" width="8" style="407"/>
    <col min="11265" max="11265" width="2.88671875" style="407" customWidth="1"/>
    <col min="11266" max="11266" width="32.44140625" style="407" bestFit="1" customWidth="1"/>
    <col min="11267" max="11267" width="9.88671875" style="407" bestFit="1" customWidth="1"/>
    <col min="11268" max="11268" width="8.88671875" style="407" bestFit="1" customWidth="1"/>
    <col min="11269" max="11269" width="7.44140625" style="407" bestFit="1" customWidth="1"/>
    <col min="11270" max="11270" width="8.6640625" style="407" customWidth="1"/>
    <col min="11271" max="11271" width="8" style="407" bestFit="1" customWidth="1"/>
    <col min="11272" max="11273" width="7.44140625" style="407" bestFit="1" customWidth="1"/>
    <col min="11274" max="11274" width="8.88671875" style="407" bestFit="1" customWidth="1"/>
    <col min="11275" max="11278" width="8.44140625" style="407" bestFit="1" customWidth="1"/>
    <col min="11279" max="11279" width="8.88671875" style="407" customWidth="1"/>
    <col min="11280" max="11280" width="10.109375" style="407" bestFit="1" customWidth="1"/>
    <col min="11281" max="11520" width="8" style="407"/>
    <col min="11521" max="11521" width="2.88671875" style="407" customWidth="1"/>
    <col min="11522" max="11522" width="32.44140625" style="407" bestFit="1" customWidth="1"/>
    <col min="11523" max="11523" width="9.88671875" style="407" bestFit="1" customWidth="1"/>
    <col min="11524" max="11524" width="8.88671875" style="407" bestFit="1" customWidth="1"/>
    <col min="11525" max="11525" width="7.44140625" style="407" bestFit="1" customWidth="1"/>
    <col min="11526" max="11526" width="8.6640625" style="407" customWidth="1"/>
    <col min="11527" max="11527" width="8" style="407" bestFit="1" customWidth="1"/>
    <col min="11528" max="11529" width="7.44140625" style="407" bestFit="1" customWidth="1"/>
    <col min="11530" max="11530" width="8.88671875" style="407" bestFit="1" customWidth="1"/>
    <col min="11531" max="11534" width="8.44140625" style="407" bestFit="1" customWidth="1"/>
    <col min="11535" max="11535" width="8.88671875" style="407" customWidth="1"/>
    <col min="11536" max="11536" width="10.109375" style="407" bestFit="1" customWidth="1"/>
    <col min="11537" max="11776" width="8" style="407"/>
    <col min="11777" max="11777" width="2.88671875" style="407" customWidth="1"/>
    <col min="11778" max="11778" width="32.44140625" style="407" bestFit="1" customWidth="1"/>
    <col min="11779" max="11779" width="9.88671875" style="407" bestFit="1" customWidth="1"/>
    <col min="11780" max="11780" width="8.88671875" style="407" bestFit="1" customWidth="1"/>
    <col min="11781" max="11781" width="7.44140625" style="407" bestFit="1" customWidth="1"/>
    <col min="11782" max="11782" width="8.6640625" style="407" customWidth="1"/>
    <col min="11783" max="11783" width="8" style="407" bestFit="1" customWidth="1"/>
    <col min="11784" max="11785" width="7.44140625" style="407" bestFit="1" customWidth="1"/>
    <col min="11786" max="11786" width="8.88671875" style="407" bestFit="1" customWidth="1"/>
    <col min="11787" max="11790" width="8.44140625" style="407" bestFit="1" customWidth="1"/>
    <col min="11791" max="11791" width="8.88671875" style="407" customWidth="1"/>
    <col min="11792" max="11792" width="10.109375" style="407" bestFit="1" customWidth="1"/>
    <col min="11793" max="12032" width="8" style="407"/>
    <col min="12033" max="12033" width="2.88671875" style="407" customWidth="1"/>
    <col min="12034" max="12034" width="32.44140625" style="407" bestFit="1" customWidth="1"/>
    <col min="12035" max="12035" width="9.88671875" style="407" bestFit="1" customWidth="1"/>
    <col min="12036" max="12036" width="8.88671875" style="407" bestFit="1" customWidth="1"/>
    <col min="12037" max="12037" width="7.44140625" style="407" bestFit="1" customWidth="1"/>
    <col min="12038" max="12038" width="8.6640625" style="407" customWidth="1"/>
    <col min="12039" max="12039" width="8" style="407" bestFit="1" customWidth="1"/>
    <col min="12040" max="12041" width="7.44140625" style="407" bestFit="1" customWidth="1"/>
    <col min="12042" max="12042" width="8.88671875" style="407" bestFit="1" customWidth="1"/>
    <col min="12043" max="12046" width="8.44140625" style="407" bestFit="1" customWidth="1"/>
    <col min="12047" max="12047" width="8.88671875" style="407" customWidth="1"/>
    <col min="12048" max="12048" width="10.109375" style="407" bestFit="1" customWidth="1"/>
    <col min="12049" max="12288" width="8" style="407"/>
    <col min="12289" max="12289" width="2.88671875" style="407" customWidth="1"/>
    <col min="12290" max="12290" width="32.44140625" style="407" bestFit="1" customWidth="1"/>
    <col min="12291" max="12291" width="9.88671875" style="407" bestFit="1" customWidth="1"/>
    <col min="12292" max="12292" width="8.88671875" style="407" bestFit="1" customWidth="1"/>
    <col min="12293" max="12293" width="7.44140625" style="407" bestFit="1" customWidth="1"/>
    <col min="12294" max="12294" width="8.6640625" style="407" customWidth="1"/>
    <col min="12295" max="12295" width="8" style="407" bestFit="1" customWidth="1"/>
    <col min="12296" max="12297" width="7.44140625" style="407" bestFit="1" customWidth="1"/>
    <col min="12298" max="12298" width="8.88671875" style="407" bestFit="1" customWidth="1"/>
    <col min="12299" max="12302" width="8.44140625" style="407" bestFit="1" customWidth="1"/>
    <col min="12303" max="12303" width="8.88671875" style="407" customWidth="1"/>
    <col min="12304" max="12304" width="10.109375" style="407" bestFit="1" customWidth="1"/>
    <col min="12305" max="12544" width="8" style="407"/>
    <col min="12545" max="12545" width="2.88671875" style="407" customWidth="1"/>
    <col min="12546" max="12546" width="32.44140625" style="407" bestFit="1" customWidth="1"/>
    <col min="12547" max="12547" width="9.88671875" style="407" bestFit="1" customWidth="1"/>
    <col min="12548" max="12548" width="8.88671875" style="407" bestFit="1" customWidth="1"/>
    <col min="12549" max="12549" width="7.44140625" style="407" bestFit="1" customWidth="1"/>
    <col min="12550" max="12550" width="8.6640625" style="407" customWidth="1"/>
    <col min="12551" max="12551" width="8" style="407" bestFit="1" customWidth="1"/>
    <col min="12552" max="12553" width="7.44140625" style="407" bestFit="1" customWidth="1"/>
    <col min="12554" max="12554" width="8.88671875" style="407" bestFit="1" customWidth="1"/>
    <col min="12555" max="12558" width="8.44140625" style="407" bestFit="1" customWidth="1"/>
    <col min="12559" max="12559" width="8.88671875" style="407" customWidth="1"/>
    <col min="12560" max="12560" width="10.109375" style="407" bestFit="1" customWidth="1"/>
    <col min="12561" max="12800" width="8" style="407"/>
    <col min="12801" max="12801" width="2.88671875" style="407" customWidth="1"/>
    <col min="12802" max="12802" width="32.44140625" style="407" bestFit="1" customWidth="1"/>
    <col min="12803" max="12803" width="9.88671875" style="407" bestFit="1" customWidth="1"/>
    <col min="12804" max="12804" width="8.88671875" style="407" bestFit="1" customWidth="1"/>
    <col min="12805" max="12805" width="7.44140625" style="407" bestFit="1" customWidth="1"/>
    <col min="12806" max="12806" width="8.6640625" style="407" customWidth="1"/>
    <col min="12807" max="12807" width="8" style="407" bestFit="1" customWidth="1"/>
    <col min="12808" max="12809" width="7.44140625" style="407" bestFit="1" customWidth="1"/>
    <col min="12810" max="12810" width="8.88671875" style="407" bestFit="1" customWidth="1"/>
    <col min="12811" max="12814" width="8.44140625" style="407" bestFit="1" customWidth="1"/>
    <col min="12815" max="12815" width="8.88671875" style="407" customWidth="1"/>
    <col min="12816" max="12816" width="10.109375" style="407" bestFit="1" customWidth="1"/>
    <col min="12817" max="13056" width="8" style="407"/>
    <col min="13057" max="13057" width="2.88671875" style="407" customWidth="1"/>
    <col min="13058" max="13058" width="32.44140625" style="407" bestFit="1" customWidth="1"/>
    <col min="13059" max="13059" width="9.88671875" style="407" bestFit="1" customWidth="1"/>
    <col min="13060" max="13060" width="8.88671875" style="407" bestFit="1" customWidth="1"/>
    <col min="13061" max="13061" width="7.44140625" style="407" bestFit="1" customWidth="1"/>
    <col min="13062" max="13062" width="8.6640625" style="407" customWidth="1"/>
    <col min="13063" max="13063" width="8" style="407" bestFit="1" customWidth="1"/>
    <col min="13064" max="13065" width="7.44140625" style="407" bestFit="1" customWidth="1"/>
    <col min="13066" max="13066" width="8.88671875" style="407" bestFit="1" customWidth="1"/>
    <col min="13067" max="13070" width="8.44140625" style="407" bestFit="1" customWidth="1"/>
    <col min="13071" max="13071" width="8.88671875" style="407" customWidth="1"/>
    <col min="13072" max="13072" width="10.109375" style="407" bestFit="1" customWidth="1"/>
    <col min="13073" max="13312" width="8" style="407"/>
    <col min="13313" max="13313" width="2.88671875" style="407" customWidth="1"/>
    <col min="13314" max="13314" width="32.44140625" style="407" bestFit="1" customWidth="1"/>
    <col min="13315" max="13315" width="9.88671875" style="407" bestFit="1" customWidth="1"/>
    <col min="13316" max="13316" width="8.88671875" style="407" bestFit="1" customWidth="1"/>
    <col min="13317" max="13317" width="7.44140625" style="407" bestFit="1" customWidth="1"/>
    <col min="13318" max="13318" width="8.6640625" style="407" customWidth="1"/>
    <col min="13319" max="13319" width="8" style="407" bestFit="1" customWidth="1"/>
    <col min="13320" max="13321" width="7.44140625" style="407" bestFit="1" customWidth="1"/>
    <col min="13322" max="13322" width="8.88671875" style="407" bestFit="1" customWidth="1"/>
    <col min="13323" max="13326" width="8.44140625" style="407" bestFit="1" customWidth="1"/>
    <col min="13327" max="13327" width="8.88671875" style="407" customWidth="1"/>
    <col min="13328" max="13328" width="10.109375" style="407" bestFit="1" customWidth="1"/>
    <col min="13329" max="13568" width="8" style="407"/>
    <col min="13569" max="13569" width="2.88671875" style="407" customWidth="1"/>
    <col min="13570" max="13570" width="32.44140625" style="407" bestFit="1" customWidth="1"/>
    <col min="13571" max="13571" width="9.88671875" style="407" bestFit="1" customWidth="1"/>
    <col min="13572" max="13572" width="8.88671875" style="407" bestFit="1" customWidth="1"/>
    <col min="13573" max="13573" width="7.44140625" style="407" bestFit="1" customWidth="1"/>
    <col min="13574" max="13574" width="8.6640625" style="407" customWidth="1"/>
    <col min="13575" max="13575" width="8" style="407" bestFit="1" customWidth="1"/>
    <col min="13576" max="13577" width="7.44140625" style="407" bestFit="1" customWidth="1"/>
    <col min="13578" max="13578" width="8.88671875" style="407" bestFit="1" customWidth="1"/>
    <col min="13579" max="13582" width="8.44140625" style="407" bestFit="1" customWidth="1"/>
    <col min="13583" max="13583" width="8.88671875" style="407" customWidth="1"/>
    <col min="13584" max="13584" width="10.109375" style="407" bestFit="1" customWidth="1"/>
    <col min="13585" max="13824" width="8" style="407"/>
    <col min="13825" max="13825" width="2.88671875" style="407" customWidth="1"/>
    <col min="13826" max="13826" width="32.44140625" style="407" bestFit="1" customWidth="1"/>
    <col min="13827" max="13827" width="9.88671875" style="407" bestFit="1" customWidth="1"/>
    <col min="13828" max="13828" width="8.88671875" style="407" bestFit="1" customWidth="1"/>
    <col min="13829" max="13829" width="7.44140625" style="407" bestFit="1" customWidth="1"/>
    <col min="13830" max="13830" width="8.6640625" style="407" customWidth="1"/>
    <col min="13831" max="13831" width="8" style="407" bestFit="1" customWidth="1"/>
    <col min="13832" max="13833" width="7.44140625" style="407" bestFit="1" customWidth="1"/>
    <col min="13834" max="13834" width="8.88671875" style="407" bestFit="1" customWidth="1"/>
    <col min="13835" max="13838" width="8.44140625" style="407" bestFit="1" customWidth="1"/>
    <col min="13839" max="13839" width="8.88671875" style="407" customWidth="1"/>
    <col min="13840" max="13840" width="10.109375" style="407" bestFit="1" customWidth="1"/>
    <col min="13841" max="14080" width="8" style="407"/>
    <col min="14081" max="14081" width="2.88671875" style="407" customWidth="1"/>
    <col min="14082" max="14082" width="32.44140625" style="407" bestFit="1" customWidth="1"/>
    <col min="14083" max="14083" width="9.88671875" style="407" bestFit="1" customWidth="1"/>
    <col min="14084" max="14084" width="8.88671875" style="407" bestFit="1" customWidth="1"/>
    <col min="14085" max="14085" width="7.44140625" style="407" bestFit="1" customWidth="1"/>
    <col min="14086" max="14086" width="8.6640625" style="407" customWidth="1"/>
    <col min="14087" max="14087" width="8" style="407" bestFit="1" customWidth="1"/>
    <col min="14088" max="14089" width="7.44140625" style="407" bestFit="1" customWidth="1"/>
    <col min="14090" max="14090" width="8.88671875" style="407" bestFit="1" customWidth="1"/>
    <col min="14091" max="14094" width="8.44140625" style="407" bestFit="1" customWidth="1"/>
    <col min="14095" max="14095" width="8.88671875" style="407" customWidth="1"/>
    <col min="14096" max="14096" width="10.109375" style="407" bestFit="1" customWidth="1"/>
    <col min="14097" max="14336" width="8" style="407"/>
    <col min="14337" max="14337" width="2.88671875" style="407" customWidth="1"/>
    <col min="14338" max="14338" width="32.44140625" style="407" bestFit="1" customWidth="1"/>
    <col min="14339" max="14339" width="9.88671875" style="407" bestFit="1" customWidth="1"/>
    <col min="14340" max="14340" width="8.88671875" style="407" bestFit="1" customWidth="1"/>
    <col min="14341" max="14341" width="7.44140625" style="407" bestFit="1" customWidth="1"/>
    <col min="14342" max="14342" width="8.6640625" style="407" customWidth="1"/>
    <col min="14343" max="14343" width="8" style="407" bestFit="1" customWidth="1"/>
    <col min="14344" max="14345" width="7.44140625" style="407" bestFit="1" customWidth="1"/>
    <col min="14346" max="14346" width="8.88671875" style="407" bestFit="1" customWidth="1"/>
    <col min="14347" max="14350" width="8.44140625" style="407" bestFit="1" customWidth="1"/>
    <col min="14351" max="14351" width="8.88671875" style="407" customWidth="1"/>
    <col min="14352" max="14352" width="10.109375" style="407" bestFit="1" customWidth="1"/>
    <col min="14353" max="14592" width="8" style="407"/>
    <col min="14593" max="14593" width="2.88671875" style="407" customWidth="1"/>
    <col min="14594" max="14594" width="32.44140625" style="407" bestFit="1" customWidth="1"/>
    <col min="14595" max="14595" width="9.88671875" style="407" bestFit="1" customWidth="1"/>
    <col min="14596" max="14596" width="8.88671875" style="407" bestFit="1" customWidth="1"/>
    <col min="14597" max="14597" width="7.44140625" style="407" bestFit="1" customWidth="1"/>
    <col min="14598" max="14598" width="8.6640625" style="407" customWidth="1"/>
    <col min="14599" max="14599" width="8" style="407" bestFit="1" customWidth="1"/>
    <col min="14600" max="14601" width="7.44140625" style="407" bestFit="1" customWidth="1"/>
    <col min="14602" max="14602" width="8.88671875" style="407" bestFit="1" customWidth="1"/>
    <col min="14603" max="14606" width="8.44140625" style="407" bestFit="1" customWidth="1"/>
    <col min="14607" max="14607" width="8.88671875" style="407" customWidth="1"/>
    <col min="14608" max="14608" width="10.109375" style="407" bestFit="1" customWidth="1"/>
    <col min="14609" max="14848" width="8" style="407"/>
    <col min="14849" max="14849" width="2.88671875" style="407" customWidth="1"/>
    <col min="14850" max="14850" width="32.44140625" style="407" bestFit="1" customWidth="1"/>
    <col min="14851" max="14851" width="9.88671875" style="407" bestFit="1" customWidth="1"/>
    <col min="14852" max="14852" width="8.88671875" style="407" bestFit="1" customWidth="1"/>
    <col min="14853" max="14853" width="7.44140625" style="407" bestFit="1" customWidth="1"/>
    <col min="14854" max="14854" width="8.6640625" style="407" customWidth="1"/>
    <col min="14855" max="14855" width="8" style="407" bestFit="1" customWidth="1"/>
    <col min="14856" max="14857" width="7.44140625" style="407" bestFit="1" customWidth="1"/>
    <col min="14858" max="14858" width="8.88671875" style="407" bestFit="1" customWidth="1"/>
    <col min="14859" max="14862" width="8.44140625" style="407" bestFit="1" customWidth="1"/>
    <col min="14863" max="14863" width="8.88671875" style="407" customWidth="1"/>
    <col min="14864" max="14864" width="10.109375" style="407" bestFit="1" customWidth="1"/>
    <col min="14865" max="15104" width="8" style="407"/>
    <col min="15105" max="15105" width="2.88671875" style="407" customWidth="1"/>
    <col min="15106" max="15106" width="32.44140625" style="407" bestFit="1" customWidth="1"/>
    <col min="15107" max="15107" width="9.88671875" style="407" bestFit="1" customWidth="1"/>
    <col min="15108" max="15108" width="8.88671875" style="407" bestFit="1" customWidth="1"/>
    <col min="15109" max="15109" width="7.44140625" style="407" bestFit="1" customWidth="1"/>
    <col min="15110" max="15110" width="8.6640625" style="407" customWidth="1"/>
    <col min="15111" max="15111" width="8" style="407" bestFit="1" customWidth="1"/>
    <col min="15112" max="15113" width="7.44140625" style="407" bestFit="1" customWidth="1"/>
    <col min="15114" max="15114" width="8.88671875" style="407" bestFit="1" customWidth="1"/>
    <col min="15115" max="15118" width="8.44140625" style="407" bestFit="1" customWidth="1"/>
    <col min="15119" max="15119" width="8.88671875" style="407" customWidth="1"/>
    <col min="15120" max="15120" width="10.109375" style="407" bestFit="1" customWidth="1"/>
    <col min="15121" max="15360" width="8" style="407"/>
    <col min="15361" max="15361" width="2.88671875" style="407" customWidth="1"/>
    <col min="15362" max="15362" width="32.44140625" style="407" bestFit="1" customWidth="1"/>
    <col min="15363" max="15363" width="9.88671875" style="407" bestFit="1" customWidth="1"/>
    <col min="15364" max="15364" width="8.88671875" style="407" bestFit="1" customWidth="1"/>
    <col min="15365" max="15365" width="7.44140625" style="407" bestFit="1" customWidth="1"/>
    <col min="15366" max="15366" width="8.6640625" style="407" customWidth="1"/>
    <col min="15367" max="15367" width="8" style="407" bestFit="1" customWidth="1"/>
    <col min="15368" max="15369" width="7.44140625" style="407" bestFit="1" customWidth="1"/>
    <col min="15370" max="15370" width="8.88671875" style="407" bestFit="1" customWidth="1"/>
    <col min="15371" max="15374" width="8.44140625" style="407" bestFit="1" customWidth="1"/>
    <col min="15375" max="15375" width="8.88671875" style="407" customWidth="1"/>
    <col min="15376" max="15376" width="10.109375" style="407" bestFit="1" customWidth="1"/>
    <col min="15377" max="15616" width="8" style="407"/>
    <col min="15617" max="15617" width="2.88671875" style="407" customWidth="1"/>
    <col min="15618" max="15618" width="32.44140625" style="407" bestFit="1" customWidth="1"/>
    <col min="15619" max="15619" width="9.88671875" style="407" bestFit="1" customWidth="1"/>
    <col min="15620" max="15620" width="8.88671875" style="407" bestFit="1" customWidth="1"/>
    <col min="15621" max="15621" width="7.44140625" style="407" bestFit="1" customWidth="1"/>
    <col min="15622" max="15622" width="8.6640625" style="407" customWidth="1"/>
    <col min="15623" max="15623" width="8" style="407" bestFit="1" customWidth="1"/>
    <col min="15624" max="15625" width="7.44140625" style="407" bestFit="1" customWidth="1"/>
    <col min="15626" max="15626" width="8.88671875" style="407" bestFit="1" customWidth="1"/>
    <col min="15627" max="15630" width="8.44140625" style="407" bestFit="1" customWidth="1"/>
    <col min="15631" max="15631" width="8.88671875" style="407" customWidth="1"/>
    <col min="15632" max="15632" width="10.109375" style="407" bestFit="1" customWidth="1"/>
    <col min="15633" max="15872" width="8" style="407"/>
    <col min="15873" max="15873" width="2.88671875" style="407" customWidth="1"/>
    <col min="15874" max="15874" width="32.44140625" style="407" bestFit="1" customWidth="1"/>
    <col min="15875" max="15875" width="9.88671875" style="407" bestFit="1" customWidth="1"/>
    <col min="15876" max="15876" width="8.88671875" style="407" bestFit="1" customWidth="1"/>
    <col min="15877" max="15877" width="7.44140625" style="407" bestFit="1" customWidth="1"/>
    <col min="15878" max="15878" width="8.6640625" style="407" customWidth="1"/>
    <col min="15879" max="15879" width="8" style="407" bestFit="1" customWidth="1"/>
    <col min="15880" max="15881" width="7.44140625" style="407" bestFit="1" customWidth="1"/>
    <col min="15882" max="15882" width="8.88671875" style="407" bestFit="1" customWidth="1"/>
    <col min="15883" max="15886" width="8.44140625" style="407" bestFit="1" customWidth="1"/>
    <col min="15887" max="15887" width="8.88671875" style="407" customWidth="1"/>
    <col min="15888" max="15888" width="10.109375" style="407" bestFit="1" customWidth="1"/>
    <col min="15889" max="16128" width="8" style="407"/>
    <col min="16129" max="16129" width="2.88671875" style="407" customWidth="1"/>
    <col min="16130" max="16130" width="32.44140625" style="407" bestFit="1" customWidth="1"/>
    <col min="16131" max="16131" width="9.88671875" style="407" bestFit="1" customWidth="1"/>
    <col min="16132" max="16132" width="8.88671875" style="407" bestFit="1" customWidth="1"/>
    <col min="16133" max="16133" width="7.44140625" style="407" bestFit="1" customWidth="1"/>
    <col min="16134" max="16134" width="8.6640625" style="407" customWidth="1"/>
    <col min="16135" max="16135" width="8" style="407" bestFit="1" customWidth="1"/>
    <col min="16136" max="16137" width="7.44140625" style="407" bestFit="1" customWidth="1"/>
    <col min="16138" max="16138" width="8.88671875" style="407" bestFit="1" customWidth="1"/>
    <col min="16139" max="16142" width="8.44140625" style="407" bestFit="1" customWidth="1"/>
    <col min="16143" max="16143" width="8.88671875" style="407" customWidth="1"/>
    <col min="16144" max="16144" width="10.109375" style="407" bestFit="1" customWidth="1"/>
    <col min="16145" max="16384" width="8" style="407"/>
  </cols>
  <sheetData>
    <row r="1" spans="1:16" ht="13.8" x14ac:dyDescent="0.25">
      <c r="O1" s="13" t="s">
        <v>967</v>
      </c>
    </row>
    <row r="2" spans="1:16" ht="13.8" x14ac:dyDescent="0.25">
      <c r="A2" s="409"/>
      <c r="B2" s="409"/>
      <c r="C2" s="409"/>
      <c r="D2" s="409"/>
      <c r="E2" s="409"/>
      <c r="F2" s="409"/>
      <c r="G2" s="409"/>
      <c r="H2" s="409"/>
      <c r="I2" s="409"/>
      <c r="J2" s="409"/>
      <c r="K2" s="409"/>
      <c r="L2" s="409"/>
      <c r="M2" s="409"/>
      <c r="N2" s="409"/>
      <c r="O2" s="13"/>
    </row>
    <row r="3" spans="1:16" x14ac:dyDescent="0.25">
      <c r="A3" s="621" t="s">
        <v>819</v>
      </c>
      <c r="B3" s="621"/>
      <c r="C3" s="621"/>
      <c r="D3" s="621"/>
      <c r="E3" s="621"/>
      <c r="F3" s="621"/>
      <c r="G3" s="621"/>
      <c r="H3" s="621"/>
      <c r="I3" s="621"/>
      <c r="J3" s="621"/>
      <c r="K3" s="621"/>
      <c r="L3" s="621"/>
      <c r="M3" s="621"/>
      <c r="N3" s="621"/>
      <c r="O3" s="621"/>
    </row>
    <row r="4" spans="1:16" x14ac:dyDescent="0.25">
      <c r="A4" s="410"/>
      <c r="B4" s="410"/>
      <c r="C4" s="410"/>
      <c r="D4" s="410"/>
      <c r="E4" s="410"/>
      <c r="F4" s="410"/>
      <c r="G4" s="410"/>
      <c r="H4" s="410"/>
      <c r="I4" s="410"/>
      <c r="J4" s="410"/>
      <c r="K4" s="410"/>
      <c r="L4" s="410"/>
      <c r="M4" s="410"/>
      <c r="N4" s="410"/>
      <c r="O4" s="411"/>
    </row>
    <row r="5" spans="1:16" ht="7.95" customHeight="1" x14ac:dyDescent="0.25">
      <c r="A5" s="410"/>
      <c r="B5" s="410"/>
      <c r="C5" s="410"/>
      <c r="D5" s="410"/>
      <c r="E5" s="410"/>
      <c r="F5" s="410"/>
      <c r="G5" s="410"/>
      <c r="H5" s="410"/>
      <c r="I5" s="410"/>
      <c r="J5" s="410"/>
      <c r="K5" s="410"/>
      <c r="L5" s="410"/>
      <c r="M5" s="410"/>
      <c r="N5" s="410"/>
    </row>
    <row r="6" spans="1:16" x14ac:dyDescent="0.25">
      <c r="C6" s="408"/>
      <c r="D6" s="408"/>
      <c r="E6" s="408"/>
      <c r="F6" s="408"/>
      <c r="G6" s="408"/>
      <c r="H6" s="408"/>
      <c r="I6" s="408"/>
      <c r="J6" s="408"/>
      <c r="K6" s="408"/>
      <c r="L6" s="408"/>
      <c r="M6" s="408"/>
      <c r="N6" s="408"/>
      <c r="O6" s="410" t="s">
        <v>24</v>
      </c>
    </row>
    <row r="7" spans="1:16" x14ac:dyDescent="0.25">
      <c r="A7" s="412"/>
      <c r="B7" s="412"/>
      <c r="C7" s="413" t="s">
        <v>774</v>
      </c>
      <c r="D7" s="413" t="s">
        <v>775</v>
      </c>
      <c r="E7" s="413" t="s">
        <v>776</v>
      </c>
      <c r="F7" s="413" t="s">
        <v>777</v>
      </c>
      <c r="G7" s="413" t="s">
        <v>778</v>
      </c>
      <c r="H7" s="413" t="s">
        <v>779</v>
      </c>
      <c r="I7" s="413" t="s">
        <v>780</v>
      </c>
      <c r="J7" s="413" t="s">
        <v>781</v>
      </c>
      <c r="K7" s="413" t="s">
        <v>782</v>
      </c>
      <c r="L7" s="413" t="s">
        <v>783</v>
      </c>
      <c r="M7" s="413" t="s">
        <v>784</v>
      </c>
      <c r="N7" s="413" t="s">
        <v>785</v>
      </c>
      <c r="O7" s="414" t="s">
        <v>220</v>
      </c>
    </row>
    <row r="8" spans="1:16" x14ac:dyDescent="0.25">
      <c r="A8" s="415" t="s">
        <v>657</v>
      </c>
      <c r="B8" s="412"/>
      <c r="C8" s="416"/>
      <c r="D8" s="416"/>
      <c r="E8" s="416"/>
      <c r="F8" s="416"/>
      <c r="G8" s="416"/>
      <c r="H8" s="416"/>
      <c r="I8" s="416"/>
      <c r="J8" s="416"/>
      <c r="K8" s="416"/>
      <c r="L8" s="416"/>
      <c r="M8" s="416"/>
      <c r="N8" s="416"/>
      <c r="O8" s="416"/>
    </row>
    <row r="9" spans="1:16" x14ac:dyDescent="0.25">
      <c r="A9" s="412">
        <v>1</v>
      </c>
      <c r="B9" s="557" t="s">
        <v>786</v>
      </c>
      <c r="C9" s="416">
        <v>17000</v>
      </c>
      <c r="D9" s="416">
        <v>17500</v>
      </c>
      <c r="E9" s="416">
        <v>17400</v>
      </c>
      <c r="F9" s="416">
        <v>18000</v>
      </c>
      <c r="G9" s="416">
        <v>17600</v>
      </c>
      <c r="H9" s="416">
        <v>17000</v>
      </c>
      <c r="I9" s="416">
        <v>17500</v>
      </c>
      <c r="J9" s="416">
        <v>18000</v>
      </c>
      <c r="K9" s="416">
        <v>19000</v>
      </c>
      <c r="L9" s="416">
        <v>18500</v>
      </c>
      <c r="M9" s="416">
        <v>18600</v>
      </c>
      <c r="N9" s="416">
        <v>19468</v>
      </c>
      <c r="O9" s="417">
        <f t="shared" ref="O9:O17" si="0">SUM(C9:N9)</f>
        <v>215568</v>
      </c>
      <c r="P9" s="408"/>
    </row>
    <row r="10" spans="1:16" x14ac:dyDescent="0.25">
      <c r="A10" s="412">
        <v>2</v>
      </c>
      <c r="B10" s="557" t="s">
        <v>56</v>
      </c>
      <c r="C10" s="416">
        <v>8800</v>
      </c>
      <c r="D10" s="416">
        <v>9300</v>
      </c>
      <c r="E10" s="416">
        <v>420455</v>
      </c>
      <c r="F10" s="416">
        <v>20800</v>
      </c>
      <c r="G10" s="416">
        <v>70800</v>
      </c>
      <c r="H10" s="416">
        <v>16800</v>
      </c>
      <c r="I10" s="416">
        <v>8800</v>
      </c>
      <c r="J10" s="416">
        <v>21984</v>
      </c>
      <c r="K10" s="416">
        <v>449159</v>
      </c>
      <c r="L10" s="416">
        <v>21884</v>
      </c>
      <c r="M10" s="416">
        <v>36495</v>
      </c>
      <c r="N10" s="416">
        <v>12882</v>
      </c>
      <c r="O10" s="417">
        <f t="shared" si="0"/>
        <v>1098159</v>
      </c>
      <c r="P10" s="408"/>
    </row>
    <row r="11" spans="1:16" x14ac:dyDescent="0.25">
      <c r="A11" s="412"/>
      <c r="B11" s="557" t="s">
        <v>787</v>
      </c>
      <c r="C11" s="416">
        <v>8000</v>
      </c>
      <c r="D11" s="416">
        <v>8500</v>
      </c>
      <c r="E11" s="416">
        <v>420455</v>
      </c>
      <c r="F11" s="416">
        <v>20000</v>
      </c>
      <c r="G11" s="416">
        <v>70000</v>
      </c>
      <c r="H11" s="416">
        <v>16000</v>
      </c>
      <c r="I11" s="416">
        <v>8000</v>
      </c>
      <c r="J11" s="416">
        <v>21184</v>
      </c>
      <c r="K11" s="416">
        <v>449159</v>
      </c>
      <c r="L11" s="416">
        <v>21084</v>
      </c>
      <c r="M11" s="416">
        <v>35695</v>
      </c>
      <c r="N11" s="416">
        <v>12082</v>
      </c>
      <c r="O11" s="417">
        <f t="shared" si="0"/>
        <v>1090159</v>
      </c>
      <c r="P11" s="408"/>
    </row>
    <row r="12" spans="1:16" x14ac:dyDescent="0.25">
      <c r="A12" s="412">
        <v>3</v>
      </c>
      <c r="B12" s="557" t="s">
        <v>63</v>
      </c>
      <c r="C12" s="416">
        <v>27600</v>
      </c>
      <c r="D12" s="416">
        <v>5000</v>
      </c>
      <c r="E12" s="416">
        <v>129000</v>
      </c>
      <c r="F12" s="416">
        <v>12000</v>
      </c>
      <c r="G12" s="416">
        <v>80000</v>
      </c>
      <c r="H12" s="416">
        <v>11000</v>
      </c>
      <c r="I12" s="416">
        <v>25000</v>
      </c>
      <c r="J12" s="416">
        <v>14000</v>
      </c>
      <c r="K12" s="416">
        <v>30000</v>
      </c>
      <c r="L12" s="416">
        <v>15000</v>
      </c>
      <c r="M12" s="416">
        <v>15000</v>
      </c>
      <c r="N12" s="416">
        <v>24651</v>
      </c>
      <c r="O12" s="417">
        <f t="shared" si="0"/>
        <v>388251</v>
      </c>
      <c r="P12" s="408"/>
    </row>
    <row r="13" spans="1:16" x14ac:dyDescent="0.25">
      <c r="A13" s="412">
        <v>4</v>
      </c>
      <c r="B13" s="557" t="s">
        <v>27</v>
      </c>
      <c r="C13" s="416">
        <v>206396</v>
      </c>
      <c r="D13" s="416">
        <v>137597</v>
      </c>
      <c r="E13" s="416">
        <v>137597</v>
      </c>
      <c r="F13" s="416">
        <v>137597</v>
      </c>
      <c r="G13" s="416">
        <v>137597</v>
      </c>
      <c r="H13" s="416">
        <v>137597</v>
      </c>
      <c r="I13" s="416">
        <v>137597</v>
      </c>
      <c r="J13" s="416">
        <v>137597</v>
      </c>
      <c r="K13" s="416">
        <v>137597</v>
      </c>
      <c r="L13" s="416">
        <v>137597</v>
      </c>
      <c r="M13" s="416">
        <v>137597</v>
      </c>
      <c r="N13" s="416">
        <v>137603</v>
      </c>
      <c r="O13" s="417">
        <f t="shared" si="0"/>
        <v>1719969</v>
      </c>
      <c r="P13" s="408"/>
    </row>
    <row r="14" spans="1:16" ht="26.4" x14ac:dyDescent="0.25">
      <c r="A14" s="412">
        <v>5</v>
      </c>
      <c r="B14" s="558" t="s">
        <v>788</v>
      </c>
      <c r="C14" s="416">
        <f t="shared" ref="C14:N14" si="1">SUM(C15:C16)</f>
        <v>10000</v>
      </c>
      <c r="D14" s="416">
        <f t="shared" si="1"/>
        <v>15000</v>
      </c>
      <c r="E14" s="416">
        <f t="shared" si="1"/>
        <v>30000</v>
      </c>
      <c r="F14" s="416">
        <f t="shared" si="1"/>
        <v>63000</v>
      </c>
      <c r="G14" s="416">
        <f t="shared" si="1"/>
        <v>18000</v>
      </c>
      <c r="H14" s="416">
        <f t="shared" si="1"/>
        <v>59080</v>
      </c>
      <c r="I14" s="416">
        <f t="shared" si="1"/>
        <v>48342</v>
      </c>
      <c r="J14" s="416">
        <f t="shared" si="1"/>
        <v>27000</v>
      </c>
      <c r="K14" s="416">
        <f t="shared" si="1"/>
        <v>25000</v>
      </c>
      <c r="L14" s="416">
        <f t="shared" si="1"/>
        <v>30000</v>
      </c>
      <c r="M14" s="416">
        <f t="shared" si="1"/>
        <v>41000</v>
      </c>
      <c r="N14" s="416">
        <f t="shared" si="1"/>
        <v>39985</v>
      </c>
      <c r="O14" s="417">
        <f t="shared" si="0"/>
        <v>406407</v>
      </c>
      <c r="P14" s="408"/>
    </row>
    <row r="15" spans="1:16" x14ac:dyDescent="0.25">
      <c r="A15" s="412"/>
      <c r="B15" s="557" t="s">
        <v>789</v>
      </c>
      <c r="C15" s="416">
        <v>5000</v>
      </c>
      <c r="D15" s="416">
        <v>7000</v>
      </c>
      <c r="E15" s="416">
        <v>12000</v>
      </c>
      <c r="F15" s="416">
        <f>6500+1500</f>
        <v>8000</v>
      </c>
      <c r="G15" s="416">
        <v>8000</v>
      </c>
      <c r="H15" s="416">
        <v>11000</v>
      </c>
      <c r="I15" s="416">
        <v>18000</v>
      </c>
      <c r="J15" s="416">
        <v>15000</v>
      </c>
      <c r="K15" s="416">
        <v>10000</v>
      </c>
      <c r="L15" s="416">
        <v>15000</v>
      </c>
      <c r="M15" s="416">
        <v>16000</v>
      </c>
      <c r="N15" s="416">
        <v>17336</v>
      </c>
      <c r="O15" s="417">
        <f t="shared" si="0"/>
        <v>142336</v>
      </c>
      <c r="P15" s="408"/>
    </row>
    <row r="16" spans="1:16" x14ac:dyDescent="0.25">
      <c r="A16" s="412"/>
      <c r="B16" s="557" t="s">
        <v>790</v>
      </c>
      <c r="C16" s="416">
        <v>5000</v>
      </c>
      <c r="D16" s="416">
        <v>8000</v>
      </c>
      <c r="E16" s="416">
        <v>18000</v>
      </c>
      <c r="F16" s="416">
        <v>55000</v>
      </c>
      <c r="G16" s="416">
        <v>10000</v>
      </c>
      <c r="H16" s="416">
        <v>48080</v>
      </c>
      <c r="I16" s="416">
        <v>30342</v>
      </c>
      <c r="J16" s="416">
        <v>12000</v>
      </c>
      <c r="K16" s="416">
        <v>15000</v>
      </c>
      <c r="L16" s="416">
        <v>15000</v>
      </c>
      <c r="M16" s="416">
        <v>25000</v>
      </c>
      <c r="N16" s="416">
        <v>22649</v>
      </c>
      <c r="O16" s="417">
        <f t="shared" si="0"/>
        <v>264071</v>
      </c>
      <c r="P16" s="408"/>
    </row>
    <row r="17" spans="1:17" x14ac:dyDescent="0.25">
      <c r="A17" s="412">
        <v>6</v>
      </c>
      <c r="B17" s="559" t="s">
        <v>2</v>
      </c>
      <c r="C17" s="416">
        <v>0</v>
      </c>
      <c r="D17" s="416">
        <v>0</v>
      </c>
      <c r="E17" s="416">
        <v>500</v>
      </c>
      <c r="F17" s="416">
        <v>0</v>
      </c>
      <c r="G17" s="416">
        <v>0</v>
      </c>
      <c r="H17" s="416">
        <v>500</v>
      </c>
      <c r="I17" s="416">
        <v>0</v>
      </c>
      <c r="J17" s="416">
        <v>500</v>
      </c>
      <c r="K17" s="416">
        <v>0</v>
      </c>
      <c r="L17" s="416">
        <v>500</v>
      </c>
      <c r="M17" s="416">
        <v>300</v>
      </c>
      <c r="N17" s="416">
        <v>21000</v>
      </c>
      <c r="O17" s="417">
        <f t="shared" si="0"/>
        <v>23300</v>
      </c>
      <c r="P17" s="408"/>
    </row>
    <row r="18" spans="1:17" x14ac:dyDescent="0.25">
      <c r="A18" s="412">
        <v>7</v>
      </c>
      <c r="B18" s="412" t="s">
        <v>791</v>
      </c>
      <c r="C18" s="416">
        <f t="shared" ref="C18:O18" si="2">C9+C10+C12+C13+C14+C17</f>
        <v>269796</v>
      </c>
      <c r="D18" s="416">
        <f t="shared" si="2"/>
        <v>184397</v>
      </c>
      <c r="E18" s="416">
        <f t="shared" si="2"/>
        <v>734952</v>
      </c>
      <c r="F18" s="416">
        <f t="shared" si="2"/>
        <v>251397</v>
      </c>
      <c r="G18" s="416">
        <f t="shared" si="2"/>
        <v>323997</v>
      </c>
      <c r="H18" s="416">
        <f t="shared" si="2"/>
        <v>241977</v>
      </c>
      <c r="I18" s="416">
        <f t="shared" si="2"/>
        <v>237239</v>
      </c>
      <c r="J18" s="416">
        <f t="shared" si="2"/>
        <v>219081</v>
      </c>
      <c r="K18" s="416">
        <f t="shared" si="2"/>
        <v>660756</v>
      </c>
      <c r="L18" s="416">
        <f t="shared" si="2"/>
        <v>223481</v>
      </c>
      <c r="M18" s="416">
        <f t="shared" si="2"/>
        <v>248992</v>
      </c>
      <c r="N18" s="416">
        <f t="shared" si="2"/>
        <v>255589</v>
      </c>
      <c r="O18" s="417">
        <f t="shared" si="2"/>
        <v>3851654</v>
      </c>
      <c r="P18" s="408"/>
    </row>
    <row r="19" spans="1:17" ht="26.4" x14ac:dyDescent="0.25">
      <c r="A19" s="412">
        <v>8</v>
      </c>
      <c r="B19" s="559" t="s">
        <v>792</v>
      </c>
      <c r="C19" s="416">
        <v>1696984</v>
      </c>
      <c r="D19" s="416">
        <v>0</v>
      </c>
      <c r="E19" s="416">
        <v>0</v>
      </c>
      <c r="F19" s="416">
        <v>0</v>
      </c>
      <c r="G19" s="416">
        <v>0</v>
      </c>
      <c r="H19" s="416">
        <v>0</v>
      </c>
      <c r="I19" s="416">
        <v>0</v>
      </c>
      <c r="J19" s="416">
        <v>0</v>
      </c>
      <c r="K19" s="416">
        <v>0</v>
      </c>
      <c r="L19" s="416">
        <v>0</v>
      </c>
      <c r="M19" s="416">
        <v>0</v>
      </c>
      <c r="N19" s="416">
        <v>0</v>
      </c>
      <c r="O19" s="417">
        <f>SUM(C19:N19)</f>
        <v>1696984</v>
      </c>
      <c r="P19" s="408"/>
    </row>
    <row r="20" spans="1:17" x14ac:dyDescent="0.25">
      <c r="A20" s="412"/>
      <c r="B20" s="412"/>
      <c r="C20" s="416"/>
      <c r="D20" s="416"/>
      <c r="E20" s="416"/>
      <c r="F20" s="416"/>
      <c r="G20" s="416"/>
      <c r="H20" s="416"/>
      <c r="I20" s="416"/>
      <c r="J20" s="416"/>
      <c r="K20" s="416"/>
      <c r="L20" s="416"/>
      <c r="M20" s="416"/>
      <c r="N20" s="416"/>
      <c r="O20" s="417"/>
      <c r="P20" s="408"/>
    </row>
    <row r="21" spans="1:17" x14ac:dyDescent="0.25">
      <c r="A21" s="415">
        <v>9</v>
      </c>
      <c r="B21" s="415" t="s">
        <v>793</v>
      </c>
      <c r="C21" s="418">
        <f t="shared" ref="C21:O21" si="3">C18+C19</f>
        <v>1966780</v>
      </c>
      <c r="D21" s="418">
        <f t="shared" si="3"/>
        <v>184397</v>
      </c>
      <c r="E21" s="418">
        <f t="shared" si="3"/>
        <v>734952</v>
      </c>
      <c r="F21" s="418">
        <f t="shared" si="3"/>
        <v>251397</v>
      </c>
      <c r="G21" s="418">
        <f t="shared" si="3"/>
        <v>323997</v>
      </c>
      <c r="H21" s="418">
        <f t="shared" si="3"/>
        <v>241977</v>
      </c>
      <c r="I21" s="418">
        <f t="shared" si="3"/>
        <v>237239</v>
      </c>
      <c r="J21" s="418">
        <f t="shared" si="3"/>
        <v>219081</v>
      </c>
      <c r="K21" s="418">
        <f t="shared" si="3"/>
        <v>660756</v>
      </c>
      <c r="L21" s="418">
        <f t="shared" si="3"/>
        <v>223481</v>
      </c>
      <c r="M21" s="418">
        <f t="shared" si="3"/>
        <v>248992</v>
      </c>
      <c r="N21" s="418">
        <f t="shared" si="3"/>
        <v>255589</v>
      </c>
      <c r="O21" s="418">
        <f t="shared" si="3"/>
        <v>5548638</v>
      </c>
      <c r="P21" s="408"/>
    </row>
    <row r="22" spans="1:17" x14ac:dyDescent="0.25">
      <c r="A22" s="419"/>
      <c r="B22" s="419"/>
      <c r="C22" s="420"/>
      <c r="D22" s="420"/>
      <c r="E22" s="420"/>
      <c r="F22" s="420"/>
      <c r="G22" s="420"/>
      <c r="H22" s="420"/>
      <c r="I22" s="420"/>
      <c r="J22" s="420"/>
      <c r="K22" s="420"/>
      <c r="L22" s="420"/>
      <c r="M22" s="420"/>
      <c r="N22" s="420"/>
      <c r="O22" s="420"/>
    </row>
    <row r="23" spans="1:17" x14ac:dyDescent="0.25">
      <c r="A23" s="415" t="s">
        <v>671</v>
      </c>
      <c r="B23" s="412"/>
      <c r="C23" s="421"/>
      <c r="D23" s="421"/>
      <c r="E23" s="421"/>
      <c r="F23" s="421"/>
      <c r="G23" s="421"/>
      <c r="H23" s="421"/>
      <c r="I23" s="421"/>
      <c r="J23" s="421"/>
      <c r="K23" s="421"/>
      <c r="L23" s="421"/>
      <c r="M23" s="421"/>
      <c r="N23" s="421"/>
      <c r="O23" s="422"/>
      <c r="P23" s="560"/>
    </row>
    <row r="24" spans="1:17" x14ac:dyDescent="0.25">
      <c r="A24" s="412">
        <v>10</v>
      </c>
      <c r="B24" s="557" t="s">
        <v>794</v>
      </c>
      <c r="C24" s="416">
        <v>87260</v>
      </c>
      <c r="D24" s="416">
        <v>88029</v>
      </c>
      <c r="E24" s="416">
        <v>86939</v>
      </c>
      <c r="F24" s="416">
        <v>85274</v>
      </c>
      <c r="G24" s="416">
        <v>78832</v>
      </c>
      <c r="H24" s="416">
        <v>79153</v>
      </c>
      <c r="I24" s="416">
        <v>80434</v>
      </c>
      <c r="J24" s="416">
        <v>88349</v>
      </c>
      <c r="K24" s="416">
        <v>87388</v>
      </c>
      <c r="L24" s="416">
        <v>84933</v>
      </c>
      <c r="M24" s="416">
        <v>88013</v>
      </c>
      <c r="N24" s="416">
        <v>82097</v>
      </c>
      <c r="O24" s="417">
        <f>SUM(C24:N24)</f>
        <v>1016701</v>
      </c>
      <c r="P24" s="408"/>
    </row>
    <row r="25" spans="1:17" x14ac:dyDescent="0.25">
      <c r="A25" s="412">
        <v>11</v>
      </c>
      <c r="B25" s="557" t="s">
        <v>795</v>
      </c>
      <c r="C25" s="416">
        <v>8480</v>
      </c>
      <c r="D25" s="416">
        <v>8555</v>
      </c>
      <c r="E25" s="416">
        <v>8449</v>
      </c>
      <c r="F25" s="416">
        <v>8287</v>
      </c>
      <c r="G25" s="416">
        <v>7661</v>
      </c>
      <c r="H25" s="416">
        <v>7692</v>
      </c>
      <c r="I25" s="416">
        <v>7817</v>
      </c>
      <c r="J25" s="416">
        <v>8586</v>
      </c>
      <c r="K25" s="416">
        <v>8492</v>
      </c>
      <c r="L25" s="416">
        <v>8254</v>
      </c>
      <c r="M25" s="416">
        <v>8553</v>
      </c>
      <c r="N25" s="416">
        <v>7974</v>
      </c>
      <c r="O25" s="417">
        <f>SUM(C25:N25)</f>
        <v>98800</v>
      </c>
      <c r="P25" s="408"/>
      <c r="Q25" s="561"/>
    </row>
    <row r="26" spans="1:17" x14ac:dyDescent="0.25">
      <c r="A26" s="412">
        <v>12</v>
      </c>
      <c r="B26" s="557" t="s">
        <v>796</v>
      </c>
      <c r="C26" s="416">
        <v>130000</v>
      </c>
      <c r="D26" s="416">
        <v>138124</v>
      </c>
      <c r="E26" s="416">
        <v>135387</v>
      </c>
      <c r="F26" s="416">
        <v>145000</v>
      </c>
      <c r="G26" s="416">
        <v>140862</v>
      </c>
      <c r="H26" s="416">
        <v>140392</v>
      </c>
      <c r="I26" s="416">
        <v>141733</v>
      </c>
      <c r="J26" s="416">
        <v>144415</v>
      </c>
      <c r="K26" s="416">
        <v>140000</v>
      </c>
      <c r="L26" s="416">
        <v>140000</v>
      </c>
      <c r="M26" s="416">
        <v>147208</v>
      </c>
      <c r="N26" s="416">
        <v>145479</v>
      </c>
      <c r="O26" s="417">
        <f>SUM(C26:N26)</f>
        <v>1688600</v>
      </c>
      <c r="P26" s="408"/>
    </row>
    <row r="27" spans="1:17" x14ac:dyDescent="0.25">
      <c r="A27" s="412">
        <v>13</v>
      </c>
      <c r="B27" s="557" t="s">
        <v>45</v>
      </c>
      <c r="C27" s="416">
        <v>1000</v>
      </c>
      <c r="D27" s="416">
        <v>1000</v>
      </c>
      <c r="E27" s="416">
        <v>1000</v>
      </c>
      <c r="F27" s="416">
        <v>1000</v>
      </c>
      <c r="G27" s="416">
        <v>1000</v>
      </c>
      <c r="H27" s="416">
        <v>1000</v>
      </c>
      <c r="I27" s="416">
        <v>1500</v>
      </c>
      <c r="J27" s="416">
        <v>1500</v>
      </c>
      <c r="K27" s="416">
        <v>1500</v>
      </c>
      <c r="L27" s="416">
        <v>1500</v>
      </c>
      <c r="M27" s="416">
        <v>1500</v>
      </c>
      <c r="N27" s="416">
        <v>1500</v>
      </c>
      <c r="O27" s="417">
        <f>SUM(C27:N27)</f>
        <v>15000</v>
      </c>
      <c r="P27" s="408"/>
    </row>
    <row r="28" spans="1:17" x14ac:dyDescent="0.25">
      <c r="A28" s="412">
        <v>14</v>
      </c>
      <c r="B28" s="557" t="s">
        <v>797</v>
      </c>
      <c r="C28" s="416">
        <v>35000</v>
      </c>
      <c r="D28" s="416">
        <v>44698</v>
      </c>
      <c r="E28" s="416">
        <v>42000</v>
      </c>
      <c r="F28" s="416">
        <v>41000</v>
      </c>
      <c r="G28" s="416">
        <v>42000</v>
      </c>
      <c r="H28" s="416">
        <v>59000</v>
      </c>
      <c r="I28" s="416">
        <v>55000</v>
      </c>
      <c r="J28" s="416">
        <v>48010</v>
      </c>
      <c r="K28" s="416">
        <v>51500</v>
      </c>
      <c r="L28" s="416">
        <v>48600</v>
      </c>
      <c r="M28" s="416">
        <v>53000</v>
      </c>
      <c r="N28" s="416">
        <v>47000</v>
      </c>
      <c r="O28" s="417">
        <f>SUM(C28:N28)</f>
        <v>566808</v>
      </c>
      <c r="P28" s="408"/>
    </row>
    <row r="29" spans="1:17" x14ac:dyDescent="0.25">
      <c r="A29" s="412">
        <v>15</v>
      </c>
      <c r="B29" s="557" t="s">
        <v>798</v>
      </c>
      <c r="C29" s="416">
        <f t="shared" ref="C29:O29" si="4">C24+C25+C26+C27+C28</f>
        <v>261740</v>
      </c>
      <c r="D29" s="416">
        <f t="shared" si="4"/>
        <v>280406</v>
      </c>
      <c r="E29" s="416">
        <f t="shared" si="4"/>
        <v>273775</v>
      </c>
      <c r="F29" s="416">
        <f t="shared" si="4"/>
        <v>280561</v>
      </c>
      <c r="G29" s="416">
        <f t="shared" si="4"/>
        <v>270355</v>
      </c>
      <c r="H29" s="416">
        <f t="shared" si="4"/>
        <v>287237</v>
      </c>
      <c r="I29" s="416">
        <f t="shared" si="4"/>
        <v>286484</v>
      </c>
      <c r="J29" s="416">
        <f t="shared" si="4"/>
        <v>290860</v>
      </c>
      <c r="K29" s="416">
        <f t="shared" si="4"/>
        <v>288880</v>
      </c>
      <c r="L29" s="416">
        <f t="shared" si="4"/>
        <v>283287</v>
      </c>
      <c r="M29" s="416">
        <f t="shared" si="4"/>
        <v>298274</v>
      </c>
      <c r="N29" s="416">
        <f t="shared" si="4"/>
        <v>284050</v>
      </c>
      <c r="O29" s="417">
        <f t="shared" si="4"/>
        <v>3385909</v>
      </c>
      <c r="P29" s="408"/>
    </row>
    <row r="30" spans="1:17" x14ac:dyDescent="0.25">
      <c r="A30" s="412">
        <v>16</v>
      </c>
      <c r="B30" s="557" t="s">
        <v>19</v>
      </c>
      <c r="C30" s="416">
        <v>6000</v>
      </c>
      <c r="D30" s="416">
        <v>16000</v>
      </c>
      <c r="E30" s="416">
        <v>15000</v>
      </c>
      <c r="F30" s="416">
        <v>25000</v>
      </c>
      <c r="G30" s="416">
        <v>45000</v>
      </c>
      <c r="H30" s="416">
        <v>320000</v>
      </c>
      <c r="I30" s="416">
        <v>35000</v>
      </c>
      <c r="J30" s="416">
        <v>70000</v>
      </c>
      <c r="K30" s="416">
        <v>280000</v>
      </c>
      <c r="L30" s="416">
        <v>99500</v>
      </c>
      <c r="M30" s="416">
        <v>150000</v>
      </c>
      <c r="N30" s="416">
        <v>302783</v>
      </c>
      <c r="O30" s="417">
        <f>SUM(C30:N30)</f>
        <v>1364283</v>
      </c>
      <c r="P30" s="408"/>
    </row>
    <row r="31" spans="1:17" x14ac:dyDescent="0.25">
      <c r="A31" s="412">
        <v>17</v>
      </c>
      <c r="B31" s="557" t="s">
        <v>47</v>
      </c>
      <c r="C31" s="416">
        <v>15000</v>
      </c>
      <c r="D31" s="416">
        <v>25000</v>
      </c>
      <c r="E31" s="416">
        <v>55000</v>
      </c>
      <c r="F31" s="416">
        <v>95000</v>
      </c>
      <c r="G31" s="416">
        <v>45000</v>
      </c>
      <c r="H31" s="416">
        <v>55000</v>
      </c>
      <c r="I31" s="416">
        <v>65000</v>
      </c>
      <c r="J31" s="416">
        <v>85000</v>
      </c>
      <c r="K31" s="416">
        <v>85000</v>
      </c>
      <c r="L31" s="416">
        <v>95000</v>
      </c>
      <c r="M31" s="416">
        <v>14324</v>
      </c>
      <c r="N31" s="416">
        <v>45000</v>
      </c>
      <c r="O31" s="417">
        <f>SUM(C31:N31)</f>
        <v>679324</v>
      </c>
      <c r="P31" s="408"/>
    </row>
    <row r="32" spans="1:17" x14ac:dyDescent="0.25">
      <c r="A32" s="412">
        <v>18</v>
      </c>
      <c r="B32" s="557" t="s">
        <v>799</v>
      </c>
      <c r="C32" s="416">
        <v>0</v>
      </c>
      <c r="D32" s="416">
        <v>1000</v>
      </c>
      <c r="E32" s="416">
        <v>1000</v>
      </c>
      <c r="F32" s="416">
        <v>1000</v>
      </c>
      <c r="G32" s="416">
        <v>800</v>
      </c>
      <c r="H32" s="416">
        <v>800</v>
      </c>
      <c r="I32" s="416">
        <v>500</v>
      </c>
      <c r="J32" s="416">
        <v>500</v>
      </c>
      <c r="K32" s="416">
        <v>1000</v>
      </c>
      <c r="L32" s="416">
        <v>1000</v>
      </c>
      <c r="M32" s="416">
        <v>400</v>
      </c>
      <c r="N32" s="416">
        <v>300</v>
      </c>
      <c r="O32" s="417">
        <f>SUM(C32:N32)</f>
        <v>8300</v>
      </c>
      <c r="P32" s="408"/>
    </row>
    <row r="33" spans="1:16" x14ac:dyDescent="0.25">
      <c r="A33" s="412">
        <v>19</v>
      </c>
      <c r="B33" s="557" t="s">
        <v>800</v>
      </c>
      <c r="C33" s="416">
        <f t="shared" ref="C33:O33" si="5">C30+C31+C32</f>
        <v>21000</v>
      </c>
      <c r="D33" s="416">
        <f t="shared" si="5"/>
        <v>42000</v>
      </c>
      <c r="E33" s="416">
        <f t="shared" si="5"/>
        <v>71000</v>
      </c>
      <c r="F33" s="416">
        <f t="shared" si="5"/>
        <v>121000</v>
      </c>
      <c r="G33" s="416">
        <f t="shared" si="5"/>
        <v>90800</v>
      </c>
      <c r="H33" s="416">
        <f t="shared" si="5"/>
        <v>375800</v>
      </c>
      <c r="I33" s="416">
        <f t="shared" si="5"/>
        <v>100500</v>
      </c>
      <c r="J33" s="416">
        <f t="shared" si="5"/>
        <v>155500</v>
      </c>
      <c r="K33" s="416">
        <f t="shared" si="5"/>
        <v>366000</v>
      </c>
      <c r="L33" s="416">
        <f t="shared" si="5"/>
        <v>195500</v>
      </c>
      <c r="M33" s="416">
        <f t="shared" si="5"/>
        <v>164724</v>
      </c>
      <c r="N33" s="416">
        <f t="shared" si="5"/>
        <v>348083</v>
      </c>
      <c r="O33" s="417">
        <f t="shared" si="5"/>
        <v>2051907</v>
      </c>
      <c r="P33" s="408"/>
    </row>
    <row r="34" spans="1:16" x14ac:dyDescent="0.25">
      <c r="A34" s="412">
        <v>20</v>
      </c>
      <c r="B34" s="557" t="s">
        <v>801</v>
      </c>
      <c r="C34" s="417"/>
      <c r="D34" s="417"/>
      <c r="E34" s="417"/>
      <c r="F34" s="417"/>
      <c r="G34" s="417"/>
      <c r="H34" s="417"/>
      <c r="I34" s="417"/>
      <c r="J34" s="417"/>
      <c r="K34" s="417">
        <v>4000</v>
      </c>
      <c r="L34" s="417">
        <v>4000</v>
      </c>
      <c r="M34" s="417">
        <v>5000</v>
      </c>
      <c r="N34" s="417">
        <v>6868</v>
      </c>
      <c r="O34" s="417">
        <f>SUM(C34:N34)</f>
        <v>19868</v>
      </c>
      <c r="P34" s="408"/>
    </row>
    <row r="35" spans="1:16" x14ac:dyDescent="0.25">
      <c r="A35" s="412">
        <v>21</v>
      </c>
      <c r="B35" s="557" t="s">
        <v>802</v>
      </c>
      <c r="C35" s="416">
        <f t="shared" ref="C35:O35" si="6">C29+C33+C34</f>
        <v>282740</v>
      </c>
      <c r="D35" s="416">
        <f t="shared" si="6"/>
        <v>322406</v>
      </c>
      <c r="E35" s="416">
        <f t="shared" si="6"/>
        <v>344775</v>
      </c>
      <c r="F35" s="416">
        <f t="shared" si="6"/>
        <v>401561</v>
      </c>
      <c r="G35" s="416">
        <f t="shared" si="6"/>
        <v>361155</v>
      </c>
      <c r="H35" s="416">
        <f t="shared" si="6"/>
        <v>663037</v>
      </c>
      <c r="I35" s="416">
        <f t="shared" si="6"/>
        <v>386984</v>
      </c>
      <c r="J35" s="416">
        <f t="shared" si="6"/>
        <v>446360</v>
      </c>
      <c r="K35" s="416">
        <f t="shared" si="6"/>
        <v>658880</v>
      </c>
      <c r="L35" s="416">
        <f t="shared" si="6"/>
        <v>482787</v>
      </c>
      <c r="M35" s="416">
        <f t="shared" si="6"/>
        <v>467998</v>
      </c>
      <c r="N35" s="416">
        <f t="shared" si="6"/>
        <v>639001</v>
      </c>
      <c r="O35" s="416">
        <f t="shared" si="6"/>
        <v>5457684</v>
      </c>
    </row>
    <row r="36" spans="1:16" ht="26.4" x14ac:dyDescent="0.25">
      <c r="A36" s="412">
        <v>22</v>
      </c>
      <c r="B36" s="559" t="s">
        <v>803</v>
      </c>
      <c r="C36" s="416">
        <v>64565</v>
      </c>
      <c r="D36" s="416">
        <v>0</v>
      </c>
      <c r="E36" s="416">
        <v>6597</v>
      </c>
      <c r="F36" s="416">
        <v>0</v>
      </c>
      <c r="G36" s="416">
        <v>0</v>
      </c>
      <c r="H36" s="416">
        <v>6597</v>
      </c>
      <c r="I36" s="416">
        <v>0</v>
      </c>
      <c r="J36" s="416">
        <v>0</v>
      </c>
      <c r="K36" s="416">
        <v>6597</v>
      </c>
      <c r="L36" s="416">
        <v>0</v>
      </c>
      <c r="M36" s="416">
        <v>0</v>
      </c>
      <c r="N36" s="416">
        <v>6598</v>
      </c>
      <c r="O36" s="417">
        <f>SUM(C36:N36)</f>
        <v>90954</v>
      </c>
      <c r="P36" s="408"/>
    </row>
    <row r="37" spans="1:16" x14ac:dyDescent="0.25">
      <c r="A37" s="415">
        <v>23</v>
      </c>
      <c r="B37" s="415" t="s">
        <v>804</v>
      </c>
      <c r="C37" s="418">
        <f t="shared" ref="C37:O37" si="7">C35+C36</f>
        <v>347305</v>
      </c>
      <c r="D37" s="418">
        <f t="shared" si="7"/>
        <v>322406</v>
      </c>
      <c r="E37" s="418">
        <f t="shared" si="7"/>
        <v>351372</v>
      </c>
      <c r="F37" s="418">
        <f t="shared" si="7"/>
        <v>401561</v>
      </c>
      <c r="G37" s="418">
        <f t="shared" si="7"/>
        <v>361155</v>
      </c>
      <c r="H37" s="418">
        <f t="shared" si="7"/>
        <v>669634</v>
      </c>
      <c r="I37" s="418">
        <f t="shared" si="7"/>
        <v>386984</v>
      </c>
      <c r="J37" s="418">
        <f t="shared" si="7"/>
        <v>446360</v>
      </c>
      <c r="K37" s="418">
        <f t="shared" si="7"/>
        <v>665477</v>
      </c>
      <c r="L37" s="418">
        <f t="shared" si="7"/>
        <v>482787</v>
      </c>
      <c r="M37" s="418">
        <f t="shared" si="7"/>
        <v>467998</v>
      </c>
      <c r="N37" s="418">
        <f t="shared" si="7"/>
        <v>645599</v>
      </c>
      <c r="O37" s="418">
        <f t="shared" si="7"/>
        <v>5548638</v>
      </c>
      <c r="P37" s="408"/>
    </row>
    <row r="38" spans="1:16" x14ac:dyDescent="0.25">
      <c r="A38" s="412">
        <v>24</v>
      </c>
      <c r="B38" s="412" t="s">
        <v>805</v>
      </c>
      <c r="C38" s="416">
        <f t="shared" ref="C38:N38" si="8">C18-C35</f>
        <v>-12944</v>
      </c>
      <c r="D38" s="416">
        <f t="shared" si="8"/>
        <v>-138009</v>
      </c>
      <c r="E38" s="416">
        <f t="shared" si="8"/>
        <v>390177</v>
      </c>
      <c r="F38" s="416">
        <f t="shared" si="8"/>
        <v>-150164</v>
      </c>
      <c r="G38" s="416">
        <f t="shared" si="8"/>
        <v>-37158</v>
      </c>
      <c r="H38" s="416">
        <f t="shared" si="8"/>
        <v>-421060</v>
      </c>
      <c r="I38" s="416">
        <f t="shared" si="8"/>
        <v>-149745</v>
      </c>
      <c r="J38" s="416">
        <f t="shared" si="8"/>
        <v>-227279</v>
      </c>
      <c r="K38" s="416">
        <f t="shared" si="8"/>
        <v>1876</v>
      </c>
      <c r="L38" s="416">
        <f t="shared" si="8"/>
        <v>-259306</v>
      </c>
      <c r="M38" s="416">
        <f t="shared" si="8"/>
        <v>-219006</v>
      </c>
      <c r="N38" s="416">
        <f t="shared" si="8"/>
        <v>-383412</v>
      </c>
      <c r="O38" s="417">
        <f>SUM(C38:N38)</f>
        <v>-1606030</v>
      </c>
      <c r="P38" s="408"/>
    </row>
    <row r="39" spans="1:16" x14ac:dyDescent="0.25">
      <c r="A39" s="412">
        <v>25</v>
      </c>
      <c r="B39" s="412" t="s">
        <v>806</v>
      </c>
      <c r="C39" s="416">
        <f t="shared" ref="C39:N39" si="9">C21-C37</f>
        <v>1619475</v>
      </c>
      <c r="D39" s="416">
        <f t="shared" si="9"/>
        <v>-138009</v>
      </c>
      <c r="E39" s="416">
        <f t="shared" si="9"/>
        <v>383580</v>
      </c>
      <c r="F39" s="416">
        <f t="shared" si="9"/>
        <v>-150164</v>
      </c>
      <c r="G39" s="416">
        <f t="shared" si="9"/>
        <v>-37158</v>
      </c>
      <c r="H39" s="416">
        <f t="shared" si="9"/>
        <v>-427657</v>
      </c>
      <c r="I39" s="416">
        <f t="shared" si="9"/>
        <v>-149745</v>
      </c>
      <c r="J39" s="416">
        <f t="shared" si="9"/>
        <v>-227279</v>
      </c>
      <c r="K39" s="416">
        <f t="shared" si="9"/>
        <v>-4721</v>
      </c>
      <c r="L39" s="416">
        <f t="shared" si="9"/>
        <v>-259306</v>
      </c>
      <c r="M39" s="416">
        <f t="shared" si="9"/>
        <v>-219006</v>
      </c>
      <c r="N39" s="416">
        <f t="shared" si="9"/>
        <v>-390010</v>
      </c>
      <c r="O39" s="417">
        <f>SUM(C39:N39)</f>
        <v>0</v>
      </c>
    </row>
    <row r="40" spans="1:16" x14ac:dyDescent="0.25">
      <c r="A40" s="412">
        <v>26</v>
      </c>
      <c r="B40" s="412" t="s">
        <v>807</v>
      </c>
      <c r="C40" s="416">
        <f>C21-C37</f>
        <v>1619475</v>
      </c>
      <c r="D40" s="416">
        <f t="shared" ref="D40:O40" si="10">C40+D21-D37</f>
        <v>1481466</v>
      </c>
      <c r="E40" s="416">
        <f t="shared" si="10"/>
        <v>1865046</v>
      </c>
      <c r="F40" s="416">
        <f t="shared" si="10"/>
        <v>1714882</v>
      </c>
      <c r="G40" s="416">
        <f t="shared" si="10"/>
        <v>1677724</v>
      </c>
      <c r="H40" s="416">
        <f t="shared" si="10"/>
        <v>1250067</v>
      </c>
      <c r="I40" s="416">
        <f t="shared" si="10"/>
        <v>1100322</v>
      </c>
      <c r="J40" s="416">
        <f t="shared" si="10"/>
        <v>873043</v>
      </c>
      <c r="K40" s="416">
        <f t="shared" si="10"/>
        <v>868322</v>
      </c>
      <c r="L40" s="416">
        <f t="shared" si="10"/>
        <v>609016</v>
      </c>
      <c r="M40" s="416">
        <f t="shared" si="10"/>
        <v>390010</v>
      </c>
      <c r="N40" s="416">
        <f t="shared" si="10"/>
        <v>0</v>
      </c>
      <c r="O40" s="416">
        <f t="shared" si="10"/>
        <v>0</v>
      </c>
    </row>
    <row r="42" spans="1:16" x14ac:dyDescent="0.25">
      <c r="E42" s="408"/>
      <c r="F42" s="408"/>
      <c r="G42" s="408"/>
      <c r="H42" s="408"/>
      <c r="I42" s="408"/>
      <c r="J42" s="408"/>
      <c r="K42" s="408"/>
      <c r="L42" s="408"/>
      <c r="M42" s="408"/>
      <c r="N42" s="408"/>
      <c r="O42" s="408"/>
    </row>
  </sheetData>
  <mergeCells count="1">
    <mergeCell ref="A3:O3"/>
  </mergeCells>
  <pageMargins left="0.19685039370078741" right="0.19685039370078741" top="0.35433070866141736" bottom="0.35433070866141736" header="0.31496062992125984" footer="0.31496062992125984"/>
  <pageSetup paperSize="9" scale="8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EE840-9819-4D32-805D-043D18EBAD53}">
  <sheetPr>
    <pageSetUpPr fitToPage="1"/>
  </sheetPr>
  <dimension ref="A1:S11"/>
  <sheetViews>
    <sheetView workbookViewId="0">
      <selection activeCell="S1" sqref="S1"/>
    </sheetView>
  </sheetViews>
  <sheetFormatPr defaultRowHeight="13.2" x14ac:dyDescent="0.25"/>
  <cols>
    <col min="1" max="3" width="9.109375" style="8"/>
    <col min="4" max="4" width="22.88671875" style="8" customWidth="1"/>
    <col min="5" max="5" width="9.109375" style="8"/>
    <col min="6" max="6" width="11.33203125" style="8" customWidth="1"/>
    <col min="7" max="8" width="9.109375" style="8"/>
    <col min="9" max="9" width="10.6640625" style="8" customWidth="1"/>
    <col min="10" max="10" width="10" style="8" customWidth="1"/>
    <col min="11" max="11" width="10.6640625" style="8" customWidth="1"/>
    <col min="12" max="13" width="9.109375" style="8"/>
    <col min="14" max="14" width="10.44140625" style="8" customWidth="1"/>
    <col min="15" max="15" width="7.33203125" style="8" bestFit="1" customWidth="1"/>
    <col min="16" max="16" width="9.109375" style="8" customWidth="1"/>
    <col min="17" max="261" width="9.109375" style="8"/>
    <col min="262" max="262" width="11.33203125" style="8" customWidth="1"/>
    <col min="263" max="269" width="9.109375" style="8"/>
    <col min="270" max="270" width="6" style="8" bestFit="1" customWidth="1"/>
    <col min="271" max="271" width="7.33203125" style="8" bestFit="1" customWidth="1"/>
    <col min="272" max="517" width="9.109375" style="8"/>
    <col min="518" max="518" width="11.33203125" style="8" customWidth="1"/>
    <col min="519" max="525" width="9.109375" style="8"/>
    <col min="526" max="526" width="6" style="8" bestFit="1" customWidth="1"/>
    <col min="527" max="527" width="7.33203125" style="8" bestFit="1" customWidth="1"/>
    <col min="528" max="773" width="9.109375" style="8"/>
    <col min="774" max="774" width="11.33203125" style="8" customWidth="1"/>
    <col min="775" max="781" width="9.109375" style="8"/>
    <col min="782" max="782" width="6" style="8" bestFit="1" customWidth="1"/>
    <col min="783" max="783" width="7.33203125" style="8" bestFit="1" customWidth="1"/>
    <col min="784" max="1029" width="9.109375" style="8"/>
    <col min="1030" max="1030" width="11.33203125" style="8" customWidth="1"/>
    <col min="1031" max="1037" width="9.109375" style="8"/>
    <col min="1038" max="1038" width="6" style="8" bestFit="1" customWidth="1"/>
    <col min="1039" max="1039" width="7.33203125" style="8" bestFit="1" customWidth="1"/>
    <col min="1040" max="1285" width="9.109375" style="8"/>
    <col min="1286" max="1286" width="11.33203125" style="8" customWidth="1"/>
    <col min="1287" max="1293" width="9.109375" style="8"/>
    <col min="1294" max="1294" width="6" style="8" bestFit="1" customWidth="1"/>
    <col min="1295" max="1295" width="7.33203125" style="8" bestFit="1" customWidth="1"/>
    <col min="1296" max="1541" width="9.109375" style="8"/>
    <col min="1542" max="1542" width="11.33203125" style="8" customWidth="1"/>
    <col min="1543" max="1549" width="9.109375" style="8"/>
    <col min="1550" max="1550" width="6" style="8" bestFit="1" customWidth="1"/>
    <col min="1551" max="1551" width="7.33203125" style="8" bestFit="1" customWidth="1"/>
    <col min="1552" max="1797" width="9.109375" style="8"/>
    <col min="1798" max="1798" width="11.33203125" style="8" customWidth="1"/>
    <col min="1799" max="1805" width="9.109375" style="8"/>
    <col min="1806" max="1806" width="6" style="8" bestFit="1" customWidth="1"/>
    <col min="1807" max="1807" width="7.33203125" style="8" bestFit="1" customWidth="1"/>
    <col min="1808" max="2053" width="9.109375" style="8"/>
    <col min="2054" max="2054" width="11.33203125" style="8" customWidth="1"/>
    <col min="2055" max="2061" width="9.109375" style="8"/>
    <col min="2062" max="2062" width="6" style="8" bestFit="1" customWidth="1"/>
    <col min="2063" max="2063" width="7.33203125" style="8" bestFit="1" customWidth="1"/>
    <col min="2064" max="2309" width="9.109375" style="8"/>
    <col min="2310" max="2310" width="11.33203125" style="8" customWidth="1"/>
    <col min="2311" max="2317" width="9.109375" style="8"/>
    <col min="2318" max="2318" width="6" style="8" bestFit="1" customWidth="1"/>
    <col min="2319" max="2319" width="7.33203125" style="8" bestFit="1" customWidth="1"/>
    <col min="2320" max="2565" width="9.109375" style="8"/>
    <col min="2566" max="2566" width="11.33203125" style="8" customWidth="1"/>
    <col min="2567" max="2573" width="9.109375" style="8"/>
    <col min="2574" max="2574" width="6" style="8" bestFit="1" customWidth="1"/>
    <col min="2575" max="2575" width="7.33203125" style="8" bestFit="1" customWidth="1"/>
    <col min="2576" max="2821" width="9.109375" style="8"/>
    <col min="2822" max="2822" width="11.33203125" style="8" customWidth="1"/>
    <col min="2823" max="2829" width="9.109375" style="8"/>
    <col min="2830" max="2830" width="6" style="8" bestFit="1" customWidth="1"/>
    <col min="2831" max="2831" width="7.33203125" style="8" bestFit="1" customWidth="1"/>
    <col min="2832" max="3077" width="9.109375" style="8"/>
    <col min="3078" max="3078" width="11.33203125" style="8" customWidth="1"/>
    <col min="3079" max="3085" width="9.109375" style="8"/>
    <col min="3086" max="3086" width="6" style="8" bestFit="1" customWidth="1"/>
    <col min="3087" max="3087" width="7.33203125" style="8" bestFit="1" customWidth="1"/>
    <col min="3088" max="3333" width="9.109375" style="8"/>
    <col min="3334" max="3334" width="11.33203125" style="8" customWidth="1"/>
    <col min="3335" max="3341" width="9.109375" style="8"/>
    <col min="3342" max="3342" width="6" style="8" bestFit="1" customWidth="1"/>
    <col min="3343" max="3343" width="7.33203125" style="8" bestFit="1" customWidth="1"/>
    <col min="3344" max="3589" width="9.109375" style="8"/>
    <col min="3590" max="3590" width="11.33203125" style="8" customWidth="1"/>
    <col min="3591" max="3597" width="9.109375" style="8"/>
    <col min="3598" max="3598" width="6" style="8" bestFit="1" customWidth="1"/>
    <col min="3599" max="3599" width="7.33203125" style="8" bestFit="1" customWidth="1"/>
    <col min="3600" max="3845" width="9.109375" style="8"/>
    <col min="3846" max="3846" width="11.33203125" style="8" customWidth="1"/>
    <col min="3847" max="3853" width="9.109375" style="8"/>
    <col min="3854" max="3854" width="6" style="8" bestFit="1" customWidth="1"/>
    <col min="3855" max="3855" width="7.33203125" style="8" bestFit="1" customWidth="1"/>
    <col min="3856" max="4101" width="9.109375" style="8"/>
    <col min="4102" max="4102" width="11.33203125" style="8" customWidth="1"/>
    <col min="4103" max="4109" width="9.109375" style="8"/>
    <col min="4110" max="4110" width="6" style="8" bestFit="1" customWidth="1"/>
    <col min="4111" max="4111" width="7.33203125" style="8" bestFit="1" customWidth="1"/>
    <col min="4112" max="4357" width="9.109375" style="8"/>
    <col min="4358" max="4358" width="11.33203125" style="8" customWidth="1"/>
    <col min="4359" max="4365" width="9.109375" style="8"/>
    <col min="4366" max="4366" width="6" style="8" bestFit="1" customWidth="1"/>
    <col min="4367" max="4367" width="7.33203125" style="8" bestFit="1" customWidth="1"/>
    <col min="4368" max="4613" width="9.109375" style="8"/>
    <col min="4614" max="4614" width="11.33203125" style="8" customWidth="1"/>
    <col min="4615" max="4621" width="9.109375" style="8"/>
    <col min="4622" max="4622" width="6" style="8" bestFit="1" customWidth="1"/>
    <col min="4623" max="4623" width="7.33203125" style="8" bestFit="1" customWidth="1"/>
    <col min="4624" max="4869" width="9.109375" style="8"/>
    <col min="4870" max="4870" width="11.33203125" style="8" customWidth="1"/>
    <col min="4871" max="4877" width="9.109375" style="8"/>
    <col min="4878" max="4878" width="6" style="8" bestFit="1" customWidth="1"/>
    <col min="4879" max="4879" width="7.33203125" style="8" bestFit="1" customWidth="1"/>
    <col min="4880" max="5125" width="9.109375" style="8"/>
    <col min="5126" max="5126" width="11.33203125" style="8" customWidth="1"/>
    <col min="5127" max="5133" width="9.109375" style="8"/>
    <col min="5134" max="5134" width="6" style="8" bestFit="1" customWidth="1"/>
    <col min="5135" max="5135" width="7.33203125" style="8" bestFit="1" customWidth="1"/>
    <col min="5136" max="5381" width="9.109375" style="8"/>
    <col min="5382" max="5382" width="11.33203125" style="8" customWidth="1"/>
    <col min="5383" max="5389" width="9.109375" style="8"/>
    <col min="5390" max="5390" width="6" style="8" bestFit="1" customWidth="1"/>
    <col min="5391" max="5391" width="7.33203125" style="8" bestFit="1" customWidth="1"/>
    <col min="5392" max="5637" width="9.109375" style="8"/>
    <col min="5638" max="5638" width="11.33203125" style="8" customWidth="1"/>
    <col min="5639" max="5645" width="9.109375" style="8"/>
    <col min="5646" max="5646" width="6" style="8" bestFit="1" customWidth="1"/>
    <col min="5647" max="5647" width="7.33203125" style="8" bestFit="1" customWidth="1"/>
    <col min="5648" max="5893" width="9.109375" style="8"/>
    <col min="5894" max="5894" width="11.33203125" style="8" customWidth="1"/>
    <col min="5895" max="5901" width="9.109375" style="8"/>
    <col min="5902" max="5902" width="6" style="8" bestFit="1" customWidth="1"/>
    <col min="5903" max="5903" width="7.33203125" style="8" bestFit="1" customWidth="1"/>
    <col min="5904" max="6149" width="9.109375" style="8"/>
    <col min="6150" max="6150" width="11.33203125" style="8" customWidth="1"/>
    <col min="6151" max="6157" width="9.109375" style="8"/>
    <col min="6158" max="6158" width="6" style="8" bestFit="1" customWidth="1"/>
    <col min="6159" max="6159" width="7.33203125" style="8" bestFit="1" customWidth="1"/>
    <col min="6160" max="6405" width="9.109375" style="8"/>
    <col min="6406" max="6406" width="11.33203125" style="8" customWidth="1"/>
    <col min="6407" max="6413" width="9.109375" style="8"/>
    <col min="6414" max="6414" width="6" style="8" bestFit="1" customWidth="1"/>
    <col min="6415" max="6415" width="7.33203125" style="8" bestFit="1" customWidth="1"/>
    <col min="6416" max="6661" width="9.109375" style="8"/>
    <col min="6662" max="6662" width="11.33203125" style="8" customWidth="1"/>
    <col min="6663" max="6669" width="9.109375" style="8"/>
    <col min="6670" max="6670" width="6" style="8" bestFit="1" customWidth="1"/>
    <col min="6671" max="6671" width="7.33203125" style="8" bestFit="1" customWidth="1"/>
    <col min="6672" max="6917" width="9.109375" style="8"/>
    <col min="6918" max="6918" width="11.33203125" style="8" customWidth="1"/>
    <col min="6919" max="6925" width="9.109375" style="8"/>
    <col min="6926" max="6926" width="6" style="8" bestFit="1" customWidth="1"/>
    <col min="6927" max="6927" width="7.33203125" style="8" bestFit="1" customWidth="1"/>
    <col min="6928" max="7173" width="9.109375" style="8"/>
    <col min="7174" max="7174" width="11.33203125" style="8" customWidth="1"/>
    <col min="7175" max="7181" width="9.109375" style="8"/>
    <col min="7182" max="7182" width="6" style="8" bestFit="1" customWidth="1"/>
    <col min="7183" max="7183" width="7.33203125" style="8" bestFit="1" customWidth="1"/>
    <col min="7184" max="7429" width="9.109375" style="8"/>
    <col min="7430" max="7430" width="11.33203125" style="8" customWidth="1"/>
    <col min="7431" max="7437" width="9.109375" style="8"/>
    <col min="7438" max="7438" width="6" style="8" bestFit="1" customWidth="1"/>
    <col min="7439" max="7439" width="7.33203125" style="8" bestFit="1" customWidth="1"/>
    <col min="7440" max="7685" width="9.109375" style="8"/>
    <col min="7686" max="7686" width="11.33203125" style="8" customWidth="1"/>
    <col min="7687" max="7693" width="9.109375" style="8"/>
    <col min="7694" max="7694" width="6" style="8" bestFit="1" customWidth="1"/>
    <col min="7695" max="7695" width="7.33203125" style="8" bestFit="1" customWidth="1"/>
    <col min="7696" max="7941" width="9.109375" style="8"/>
    <col min="7942" max="7942" width="11.33203125" style="8" customWidth="1"/>
    <col min="7943" max="7949" width="9.109375" style="8"/>
    <col min="7950" max="7950" width="6" style="8" bestFit="1" customWidth="1"/>
    <col min="7951" max="7951" width="7.33203125" style="8" bestFit="1" customWidth="1"/>
    <col min="7952" max="8197" width="9.109375" style="8"/>
    <col min="8198" max="8198" width="11.33203125" style="8" customWidth="1"/>
    <col min="8199" max="8205" width="9.109375" style="8"/>
    <col min="8206" max="8206" width="6" style="8" bestFit="1" customWidth="1"/>
    <col min="8207" max="8207" width="7.33203125" style="8" bestFit="1" customWidth="1"/>
    <col min="8208" max="8453" width="9.109375" style="8"/>
    <col min="8454" max="8454" width="11.33203125" style="8" customWidth="1"/>
    <col min="8455" max="8461" width="9.109375" style="8"/>
    <col min="8462" max="8462" width="6" style="8" bestFit="1" customWidth="1"/>
    <col min="8463" max="8463" width="7.33203125" style="8" bestFit="1" customWidth="1"/>
    <col min="8464" max="8709" width="9.109375" style="8"/>
    <col min="8710" max="8710" width="11.33203125" style="8" customWidth="1"/>
    <col min="8711" max="8717" width="9.109375" style="8"/>
    <col min="8718" max="8718" width="6" style="8" bestFit="1" customWidth="1"/>
    <col min="8719" max="8719" width="7.33203125" style="8" bestFit="1" customWidth="1"/>
    <col min="8720" max="8965" width="9.109375" style="8"/>
    <col min="8966" max="8966" width="11.33203125" style="8" customWidth="1"/>
    <col min="8967" max="8973" width="9.109375" style="8"/>
    <col min="8974" max="8974" width="6" style="8" bestFit="1" customWidth="1"/>
    <col min="8975" max="8975" width="7.33203125" style="8" bestFit="1" customWidth="1"/>
    <col min="8976" max="9221" width="9.109375" style="8"/>
    <col min="9222" max="9222" width="11.33203125" style="8" customWidth="1"/>
    <col min="9223" max="9229" width="9.109375" style="8"/>
    <col min="9230" max="9230" width="6" style="8" bestFit="1" customWidth="1"/>
    <col min="9231" max="9231" width="7.33203125" style="8" bestFit="1" customWidth="1"/>
    <col min="9232" max="9477" width="9.109375" style="8"/>
    <col min="9478" max="9478" width="11.33203125" style="8" customWidth="1"/>
    <col min="9479" max="9485" width="9.109375" style="8"/>
    <col min="9486" max="9486" width="6" style="8" bestFit="1" customWidth="1"/>
    <col min="9487" max="9487" width="7.33203125" style="8" bestFit="1" customWidth="1"/>
    <col min="9488" max="9733" width="9.109375" style="8"/>
    <col min="9734" max="9734" width="11.33203125" style="8" customWidth="1"/>
    <col min="9735" max="9741" width="9.109375" style="8"/>
    <col min="9742" max="9742" width="6" style="8" bestFit="1" customWidth="1"/>
    <col min="9743" max="9743" width="7.33203125" style="8" bestFit="1" customWidth="1"/>
    <col min="9744" max="9989" width="9.109375" style="8"/>
    <col min="9990" max="9990" width="11.33203125" style="8" customWidth="1"/>
    <col min="9991" max="9997" width="9.109375" style="8"/>
    <col min="9998" max="9998" width="6" style="8" bestFit="1" customWidth="1"/>
    <col min="9999" max="9999" width="7.33203125" style="8" bestFit="1" customWidth="1"/>
    <col min="10000" max="10245" width="9.109375" style="8"/>
    <col min="10246" max="10246" width="11.33203125" style="8" customWidth="1"/>
    <col min="10247" max="10253" width="9.109375" style="8"/>
    <col min="10254" max="10254" width="6" style="8" bestFit="1" customWidth="1"/>
    <col min="10255" max="10255" width="7.33203125" style="8" bestFit="1" customWidth="1"/>
    <col min="10256" max="10501" width="9.109375" style="8"/>
    <col min="10502" max="10502" width="11.33203125" style="8" customWidth="1"/>
    <col min="10503" max="10509" width="9.109375" style="8"/>
    <col min="10510" max="10510" width="6" style="8" bestFit="1" customWidth="1"/>
    <col min="10511" max="10511" width="7.33203125" style="8" bestFit="1" customWidth="1"/>
    <col min="10512" max="10757" width="9.109375" style="8"/>
    <col min="10758" max="10758" width="11.33203125" style="8" customWidth="1"/>
    <col min="10759" max="10765" width="9.109375" style="8"/>
    <col min="10766" max="10766" width="6" style="8" bestFit="1" customWidth="1"/>
    <col min="10767" max="10767" width="7.33203125" style="8" bestFit="1" customWidth="1"/>
    <col min="10768" max="11013" width="9.109375" style="8"/>
    <col min="11014" max="11014" width="11.33203125" style="8" customWidth="1"/>
    <col min="11015" max="11021" width="9.109375" style="8"/>
    <col min="11022" max="11022" width="6" style="8" bestFit="1" customWidth="1"/>
    <col min="11023" max="11023" width="7.33203125" style="8" bestFit="1" customWidth="1"/>
    <col min="11024" max="11269" width="9.109375" style="8"/>
    <col min="11270" max="11270" width="11.33203125" style="8" customWidth="1"/>
    <col min="11271" max="11277" width="9.109375" style="8"/>
    <col min="11278" max="11278" width="6" style="8" bestFit="1" customWidth="1"/>
    <col min="11279" max="11279" width="7.33203125" style="8" bestFit="1" customWidth="1"/>
    <col min="11280" max="11525" width="9.109375" style="8"/>
    <col min="11526" max="11526" width="11.33203125" style="8" customWidth="1"/>
    <col min="11527" max="11533" width="9.109375" style="8"/>
    <col min="11534" max="11534" width="6" style="8" bestFit="1" customWidth="1"/>
    <col min="11535" max="11535" width="7.33203125" style="8" bestFit="1" customWidth="1"/>
    <col min="11536" max="11781" width="9.109375" style="8"/>
    <col min="11782" max="11782" width="11.33203125" style="8" customWidth="1"/>
    <col min="11783" max="11789" width="9.109375" style="8"/>
    <col min="11790" max="11790" width="6" style="8" bestFit="1" customWidth="1"/>
    <col min="11791" max="11791" width="7.33203125" style="8" bestFit="1" customWidth="1"/>
    <col min="11792" max="12037" width="9.109375" style="8"/>
    <col min="12038" max="12038" width="11.33203125" style="8" customWidth="1"/>
    <col min="12039" max="12045" width="9.109375" style="8"/>
    <col min="12046" max="12046" width="6" style="8" bestFit="1" customWidth="1"/>
    <col min="12047" max="12047" width="7.33203125" style="8" bestFit="1" customWidth="1"/>
    <col min="12048" max="12293" width="9.109375" style="8"/>
    <col min="12294" max="12294" width="11.33203125" style="8" customWidth="1"/>
    <col min="12295" max="12301" width="9.109375" style="8"/>
    <col min="12302" max="12302" width="6" style="8" bestFit="1" customWidth="1"/>
    <col min="12303" max="12303" width="7.33203125" style="8" bestFit="1" customWidth="1"/>
    <col min="12304" max="12549" width="9.109375" style="8"/>
    <col min="12550" max="12550" width="11.33203125" style="8" customWidth="1"/>
    <col min="12551" max="12557" width="9.109375" style="8"/>
    <col min="12558" max="12558" width="6" style="8" bestFit="1" customWidth="1"/>
    <col min="12559" max="12559" width="7.33203125" style="8" bestFit="1" customWidth="1"/>
    <col min="12560" max="12805" width="9.109375" style="8"/>
    <col min="12806" max="12806" width="11.33203125" style="8" customWidth="1"/>
    <col min="12807" max="12813" width="9.109375" style="8"/>
    <col min="12814" max="12814" width="6" style="8" bestFit="1" customWidth="1"/>
    <col min="12815" max="12815" width="7.33203125" style="8" bestFit="1" customWidth="1"/>
    <col min="12816" max="13061" width="9.109375" style="8"/>
    <col min="13062" max="13062" width="11.33203125" style="8" customWidth="1"/>
    <col min="13063" max="13069" width="9.109375" style="8"/>
    <col min="13070" max="13070" width="6" style="8" bestFit="1" customWidth="1"/>
    <col min="13071" max="13071" width="7.33203125" style="8" bestFit="1" customWidth="1"/>
    <col min="13072" max="13317" width="9.109375" style="8"/>
    <col min="13318" max="13318" width="11.33203125" style="8" customWidth="1"/>
    <col min="13319" max="13325" width="9.109375" style="8"/>
    <col min="13326" max="13326" width="6" style="8" bestFit="1" customWidth="1"/>
    <col min="13327" max="13327" width="7.33203125" style="8" bestFit="1" customWidth="1"/>
    <col min="13328" max="13573" width="9.109375" style="8"/>
    <col min="13574" max="13574" width="11.33203125" style="8" customWidth="1"/>
    <col min="13575" max="13581" width="9.109375" style="8"/>
    <col min="13582" max="13582" width="6" style="8" bestFit="1" customWidth="1"/>
    <col min="13583" max="13583" width="7.33203125" style="8" bestFit="1" customWidth="1"/>
    <col min="13584" max="13829" width="9.109375" style="8"/>
    <col min="13830" max="13830" width="11.33203125" style="8" customWidth="1"/>
    <col min="13831" max="13837" width="9.109375" style="8"/>
    <col min="13838" max="13838" width="6" style="8" bestFit="1" customWidth="1"/>
    <col min="13839" max="13839" width="7.33203125" style="8" bestFit="1" customWidth="1"/>
    <col min="13840" max="14085" width="9.109375" style="8"/>
    <col min="14086" max="14086" width="11.33203125" style="8" customWidth="1"/>
    <col min="14087" max="14093" width="9.109375" style="8"/>
    <col min="14094" max="14094" width="6" style="8" bestFit="1" customWidth="1"/>
    <col min="14095" max="14095" width="7.33203125" style="8" bestFit="1" customWidth="1"/>
    <col min="14096" max="14341" width="9.109375" style="8"/>
    <col min="14342" max="14342" width="11.33203125" style="8" customWidth="1"/>
    <col min="14343" max="14349" width="9.109375" style="8"/>
    <col min="14350" max="14350" width="6" style="8" bestFit="1" customWidth="1"/>
    <col min="14351" max="14351" width="7.33203125" style="8" bestFit="1" customWidth="1"/>
    <col min="14352" max="14597" width="9.109375" style="8"/>
    <col min="14598" max="14598" width="11.33203125" style="8" customWidth="1"/>
    <col min="14599" max="14605" width="9.109375" style="8"/>
    <col min="14606" max="14606" width="6" style="8" bestFit="1" customWidth="1"/>
    <col min="14607" max="14607" width="7.33203125" style="8" bestFit="1" customWidth="1"/>
    <col min="14608" max="14853" width="9.109375" style="8"/>
    <col min="14854" max="14854" width="11.33203125" style="8" customWidth="1"/>
    <col min="14855" max="14861" width="9.109375" style="8"/>
    <col min="14862" max="14862" width="6" style="8" bestFit="1" customWidth="1"/>
    <col min="14863" max="14863" width="7.33203125" style="8" bestFit="1" customWidth="1"/>
    <col min="14864" max="15109" width="9.109375" style="8"/>
    <col min="15110" max="15110" width="11.33203125" style="8" customWidth="1"/>
    <col min="15111" max="15117" width="9.109375" style="8"/>
    <col min="15118" max="15118" width="6" style="8" bestFit="1" customWidth="1"/>
    <col min="15119" max="15119" width="7.33203125" style="8" bestFit="1" customWidth="1"/>
    <col min="15120" max="15365" width="9.109375" style="8"/>
    <col min="15366" max="15366" width="11.33203125" style="8" customWidth="1"/>
    <col min="15367" max="15373" width="9.109375" style="8"/>
    <col min="15374" max="15374" width="6" style="8" bestFit="1" customWidth="1"/>
    <col min="15375" max="15375" width="7.33203125" style="8" bestFit="1" customWidth="1"/>
    <col min="15376" max="15621" width="9.109375" style="8"/>
    <col min="15622" max="15622" width="11.33203125" style="8" customWidth="1"/>
    <col min="15623" max="15629" width="9.109375" style="8"/>
    <col min="15630" max="15630" width="6" style="8" bestFit="1" customWidth="1"/>
    <col min="15631" max="15631" width="7.33203125" style="8" bestFit="1" customWidth="1"/>
    <col min="15632" max="15877" width="9.109375" style="8"/>
    <col min="15878" max="15878" width="11.33203125" style="8" customWidth="1"/>
    <col min="15879" max="15885" width="9.109375" style="8"/>
    <col min="15886" max="15886" width="6" style="8" bestFit="1" customWidth="1"/>
    <col min="15887" max="15887" width="7.33203125" style="8" bestFit="1" customWidth="1"/>
    <col min="15888" max="16133" width="9.109375" style="8"/>
    <col min="16134" max="16134" width="11.33203125" style="8" customWidth="1"/>
    <col min="16135" max="16141" width="9.109375" style="8"/>
    <col min="16142" max="16142" width="6" style="8" bestFit="1" customWidth="1"/>
    <col min="16143" max="16143" width="7.33203125" style="8" bestFit="1" customWidth="1"/>
    <col min="16144" max="16384" width="9.109375" style="8"/>
  </cols>
  <sheetData>
    <row r="1" spans="1:19" ht="13.8" x14ac:dyDescent="0.25">
      <c r="S1" s="13" t="s">
        <v>969</v>
      </c>
    </row>
    <row r="2" spans="1:19" ht="13.8" x14ac:dyDescent="0.25">
      <c r="A2" s="409"/>
      <c r="B2" s="409"/>
      <c r="C2" s="409"/>
      <c r="D2" s="409"/>
      <c r="E2" s="409"/>
      <c r="F2" s="409"/>
      <c r="G2" s="409"/>
      <c r="H2" s="409"/>
      <c r="I2" s="409"/>
      <c r="J2" s="409"/>
      <c r="K2" s="409"/>
      <c r="L2" s="409"/>
      <c r="M2" s="409"/>
      <c r="N2" s="409"/>
      <c r="O2" s="409"/>
      <c r="P2" s="409"/>
      <c r="Q2" s="409"/>
      <c r="R2" s="409"/>
      <c r="S2" s="13"/>
    </row>
    <row r="3" spans="1:19" x14ac:dyDescent="0.25">
      <c r="A3" s="622" t="s">
        <v>820</v>
      </c>
      <c r="B3" s="622"/>
      <c r="C3" s="622"/>
      <c r="D3" s="622"/>
      <c r="E3" s="622"/>
      <c r="F3" s="622"/>
      <c r="G3" s="622"/>
      <c r="H3" s="622"/>
      <c r="I3" s="622"/>
      <c r="J3" s="622"/>
      <c r="K3" s="622"/>
      <c r="L3" s="622"/>
      <c r="M3" s="622"/>
      <c r="N3" s="622"/>
      <c r="O3" s="622"/>
      <c r="P3" s="622"/>
      <c r="Q3" s="622"/>
      <c r="R3" s="622"/>
      <c r="S3" s="622"/>
    </row>
    <row r="4" spans="1:19" x14ac:dyDescent="0.25">
      <c r="A4" s="622"/>
      <c r="B4" s="622"/>
      <c r="C4" s="622"/>
      <c r="D4" s="622"/>
      <c r="E4" s="622"/>
      <c r="F4" s="622"/>
      <c r="G4" s="622"/>
      <c r="H4" s="622"/>
      <c r="I4" s="622"/>
      <c r="J4" s="622"/>
      <c r="K4" s="622"/>
      <c r="L4" s="622"/>
      <c r="M4" s="622"/>
      <c r="N4" s="622"/>
      <c r="O4" s="622"/>
      <c r="P4" s="622"/>
      <c r="Q4" s="622"/>
      <c r="R4" s="622"/>
      <c r="S4" s="622"/>
    </row>
    <row r="5" spans="1:19" ht="18.600000000000001" thickBot="1" x14ac:dyDescent="0.4">
      <c r="A5" s="407"/>
      <c r="B5" s="407"/>
      <c r="C5" s="407"/>
      <c r="D5" s="407"/>
      <c r="E5" s="407"/>
      <c r="F5" s="407"/>
      <c r="G5" s="407"/>
      <c r="H5" s="407"/>
      <c r="I5" s="407"/>
      <c r="J5" s="407"/>
      <c r="K5" s="407"/>
      <c r="L5" s="407"/>
      <c r="M5" s="407"/>
      <c r="N5" s="407"/>
      <c r="O5" s="407"/>
      <c r="P5" s="407"/>
      <c r="Q5" s="423"/>
      <c r="R5" s="407"/>
      <c r="S5" s="424" t="s">
        <v>24</v>
      </c>
    </row>
    <row r="6" spans="1:19" ht="79.8" thickTop="1" x14ac:dyDescent="0.25">
      <c r="A6" s="425"/>
      <c r="B6" s="426"/>
      <c r="C6" s="426"/>
      <c r="D6" s="427"/>
      <c r="E6" s="428" t="s">
        <v>794</v>
      </c>
      <c r="F6" s="429" t="s">
        <v>74</v>
      </c>
      <c r="G6" s="428" t="s">
        <v>26</v>
      </c>
      <c r="H6" s="428" t="s">
        <v>46</v>
      </c>
      <c r="I6" s="428" t="s">
        <v>47</v>
      </c>
      <c r="J6" s="428" t="s">
        <v>19</v>
      </c>
      <c r="K6" s="430" t="s">
        <v>220</v>
      </c>
      <c r="L6" s="431" t="s">
        <v>808</v>
      </c>
      <c r="M6" s="432" t="s">
        <v>809</v>
      </c>
      <c r="N6" s="428" t="s">
        <v>810</v>
      </c>
      <c r="O6" s="428" t="s">
        <v>811</v>
      </c>
      <c r="P6" s="428" t="s">
        <v>812</v>
      </c>
      <c r="Q6" s="433" t="s">
        <v>813</v>
      </c>
      <c r="R6" s="433" t="s">
        <v>220</v>
      </c>
      <c r="S6" s="434" t="s">
        <v>814</v>
      </c>
    </row>
    <row r="7" spans="1:19" x14ac:dyDescent="0.25">
      <c r="A7" s="435" t="s">
        <v>821</v>
      </c>
      <c r="B7" s="436"/>
      <c r="C7" s="436"/>
      <c r="D7" s="437"/>
      <c r="E7" s="416">
        <f>'2. mell. 1. pont'!D10</f>
        <v>435137</v>
      </c>
      <c r="F7" s="416">
        <f>'2. mell. 1. pont'!D11</f>
        <v>17918</v>
      </c>
      <c r="G7" s="416">
        <f>'2. mell. 1. pont'!D12</f>
        <v>98584</v>
      </c>
      <c r="H7" s="416">
        <v>0</v>
      </c>
      <c r="I7" s="416">
        <f>'2. mell. 1. pont'!D16</f>
        <v>3279</v>
      </c>
      <c r="J7" s="416">
        <v>0</v>
      </c>
      <c r="K7" s="438">
        <f>SUM(E7:J7)</f>
        <v>554918</v>
      </c>
      <c r="L7" s="439">
        <f>'1. melléklet'!D10</f>
        <v>4684</v>
      </c>
      <c r="M7" s="440">
        <v>0</v>
      </c>
      <c r="N7" s="416">
        <v>0</v>
      </c>
      <c r="O7" s="416">
        <f>'1. melléklet'!D156</f>
        <v>905</v>
      </c>
      <c r="P7" s="416">
        <v>451833</v>
      </c>
      <c r="Q7" s="416">
        <v>97496</v>
      </c>
      <c r="R7" s="416">
        <f>SUM(L7:Q7)</f>
        <v>554918</v>
      </c>
      <c r="S7" s="441">
        <f>P7+Q7</f>
        <v>549329</v>
      </c>
    </row>
    <row r="8" spans="1:19" x14ac:dyDescent="0.25">
      <c r="A8" s="442" t="s">
        <v>156</v>
      </c>
      <c r="B8" s="443"/>
      <c r="C8" s="443"/>
      <c r="D8" s="444"/>
      <c r="E8" s="416">
        <f>'2. mell. 1. pont'!D20</f>
        <v>81546</v>
      </c>
      <c r="F8" s="416">
        <f>'2. mell. 1. pont'!D21</f>
        <v>10547</v>
      </c>
      <c r="G8" s="416">
        <f>'2. mell. 1. pont'!D22</f>
        <v>63557</v>
      </c>
      <c r="H8" s="416">
        <v>0</v>
      </c>
      <c r="I8" s="416">
        <f>'2. mell. 1. pont'!D25</f>
        <v>4965</v>
      </c>
      <c r="J8" s="416">
        <f>'2. mell. 1. pont'!D28</f>
        <v>5864</v>
      </c>
      <c r="K8" s="438">
        <f t="shared" ref="K8:K9" si="0">SUM(E8:J8)</f>
        <v>166479</v>
      </c>
      <c r="L8" s="439">
        <f>'1. melléklet'!D16</f>
        <v>20000</v>
      </c>
      <c r="M8" s="440">
        <v>0</v>
      </c>
      <c r="N8" s="416">
        <v>0</v>
      </c>
      <c r="O8" s="416">
        <f>'1. melléklet'!D157</f>
        <v>289</v>
      </c>
      <c r="P8" s="416">
        <v>52852</v>
      </c>
      <c r="Q8" s="416">
        <v>93338</v>
      </c>
      <c r="R8" s="416">
        <f t="shared" ref="R8:R9" si="1">SUM(L8:Q8)</f>
        <v>166479</v>
      </c>
      <c r="S8" s="441">
        <f t="shared" ref="S8:S9" si="2">P8+Q8</f>
        <v>146190</v>
      </c>
    </row>
    <row r="9" spans="1:19" ht="13.8" thickBot="1" x14ac:dyDescent="0.3">
      <c r="A9" s="445" t="s">
        <v>44</v>
      </c>
      <c r="B9" s="446"/>
      <c r="C9" s="446"/>
      <c r="D9" s="447"/>
      <c r="E9" s="448">
        <f>'2. mell. 1. pont'!D32</f>
        <v>326584</v>
      </c>
      <c r="F9" s="448">
        <f>'2. mell. 1. pont'!D33</f>
        <v>46796</v>
      </c>
      <c r="G9" s="448">
        <f>'2. mell. 1. pont'!D34</f>
        <v>76000</v>
      </c>
      <c r="H9" s="448">
        <v>0</v>
      </c>
      <c r="I9" s="448">
        <f>'2. mell. 1. pont'!D40</f>
        <v>9217</v>
      </c>
      <c r="J9" s="448">
        <v>0</v>
      </c>
      <c r="K9" s="449">
        <f t="shared" si="0"/>
        <v>458597</v>
      </c>
      <c r="L9" s="450">
        <f>'1. melléklet'!D24</f>
        <v>7000</v>
      </c>
      <c r="M9" s="451">
        <v>0</v>
      </c>
      <c r="N9" s="448">
        <v>0</v>
      </c>
      <c r="O9" s="448">
        <v>0</v>
      </c>
      <c r="P9" s="448">
        <v>286914</v>
      </c>
      <c r="Q9" s="416">
        <v>164683</v>
      </c>
      <c r="R9" s="448">
        <f t="shared" si="1"/>
        <v>458597</v>
      </c>
      <c r="S9" s="452">
        <f t="shared" si="2"/>
        <v>451597</v>
      </c>
    </row>
    <row r="10" spans="1:19" ht="14.4" thickTop="1" thickBot="1" x14ac:dyDescent="0.3">
      <c r="A10" s="623" t="s">
        <v>23</v>
      </c>
      <c r="B10" s="624"/>
      <c r="C10" s="624"/>
      <c r="D10" s="625"/>
      <c r="E10" s="453">
        <f>SUM(E7:E9)</f>
        <v>843267</v>
      </c>
      <c r="F10" s="453">
        <f t="shared" ref="F10:S10" si="3">SUM(F7:F9)</f>
        <v>75261</v>
      </c>
      <c r="G10" s="453">
        <f t="shared" si="3"/>
        <v>238141</v>
      </c>
      <c r="H10" s="453">
        <f t="shared" si="3"/>
        <v>0</v>
      </c>
      <c r="I10" s="453">
        <f t="shared" si="3"/>
        <v>17461</v>
      </c>
      <c r="J10" s="453">
        <f t="shared" si="3"/>
        <v>5864</v>
      </c>
      <c r="K10" s="454">
        <f t="shared" si="3"/>
        <v>1179994</v>
      </c>
      <c r="L10" s="455">
        <f t="shared" si="3"/>
        <v>31684</v>
      </c>
      <c r="M10" s="453">
        <f t="shared" si="3"/>
        <v>0</v>
      </c>
      <c r="N10" s="453">
        <f t="shared" si="3"/>
        <v>0</v>
      </c>
      <c r="O10" s="453">
        <f t="shared" si="3"/>
        <v>1194</v>
      </c>
      <c r="P10" s="453">
        <f t="shared" si="3"/>
        <v>791599</v>
      </c>
      <c r="Q10" s="453">
        <f t="shared" si="3"/>
        <v>355517</v>
      </c>
      <c r="R10" s="453">
        <f t="shared" si="3"/>
        <v>1179994</v>
      </c>
      <c r="S10" s="454">
        <f t="shared" si="3"/>
        <v>1147116</v>
      </c>
    </row>
    <row r="11" spans="1:19" ht="13.8" thickTop="1" x14ac:dyDescent="0.25"/>
  </sheetData>
  <mergeCells count="2">
    <mergeCell ref="A3:S4"/>
    <mergeCell ref="A10:D10"/>
  </mergeCells>
  <pageMargins left="0.7" right="0.7" top="0.75" bottom="0.75" header="0.3" footer="0.3"/>
  <pageSetup paperSize="9" scale="6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B177D-AA2D-4373-A802-2EA31E050D96}">
  <dimension ref="A1:I17"/>
  <sheetViews>
    <sheetView workbookViewId="0">
      <selection sqref="A1:I1"/>
    </sheetView>
  </sheetViews>
  <sheetFormatPr defaultColWidth="9.109375" defaultRowHeight="14.4" x14ac:dyDescent="0.3"/>
  <cols>
    <col min="1" max="16384" width="9.109375" style="457"/>
  </cols>
  <sheetData>
    <row r="1" spans="1:9" ht="15.6" x14ac:dyDescent="0.3">
      <c r="A1" s="626" t="s">
        <v>968</v>
      </c>
      <c r="B1" s="626"/>
      <c r="C1" s="626"/>
      <c r="D1" s="626"/>
      <c r="E1" s="626"/>
      <c r="F1" s="626"/>
      <c r="G1" s="626"/>
      <c r="H1" s="626"/>
      <c r="I1" s="626"/>
    </row>
    <row r="2" spans="1:9" ht="15.6" x14ac:dyDescent="0.3">
      <c r="A2" s="456"/>
      <c r="B2" s="456"/>
      <c r="C2" s="456"/>
      <c r="D2" s="456"/>
      <c r="E2" s="456"/>
      <c r="F2" s="456"/>
      <c r="G2" s="458"/>
      <c r="H2" s="456"/>
      <c r="I2" s="8"/>
    </row>
    <row r="3" spans="1:9" ht="15.6" x14ac:dyDescent="0.3">
      <c r="A3" s="627" t="s">
        <v>923</v>
      </c>
      <c r="B3" s="627"/>
      <c r="C3" s="627"/>
      <c r="D3" s="627"/>
      <c r="E3" s="627"/>
      <c r="F3" s="627"/>
      <c r="G3" s="627"/>
      <c r="H3" s="627"/>
      <c r="I3" s="627"/>
    </row>
    <row r="4" spans="1:9" ht="15.6" x14ac:dyDescent="0.3">
      <c r="A4" s="627" t="s">
        <v>815</v>
      </c>
      <c r="B4" s="627"/>
      <c r="C4" s="627"/>
      <c r="D4" s="627"/>
      <c r="E4" s="627"/>
      <c r="F4" s="627"/>
      <c r="G4" s="627"/>
      <c r="H4" s="627"/>
      <c r="I4" s="627"/>
    </row>
    <row r="5" spans="1:9" ht="15.6" x14ac:dyDescent="0.3">
      <c r="A5" s="459"/>
      <c r="B5" s="459"/>
      <c r="C5" s="459"/>
      <c r="D5" s="459"/>
      <c r="E5" s="459"/>
      <c r="F5" s="459"/>
      <c r="G5" s="460"/>
      <c r="H5" s="461"/>
      <c r="I5" s="8"/>
    </row>
    <row r="6" spans="1:9" ht="15.6" x14ac:dyDescent="0.3">
      <c r="A6" s="461"/>
      <c r="B6" s="461"/>
      <c r="C6" s="461"/>
      <c r="D6" s="461"/>
      <c r="E6" s="461"/>
      <c r="F6" s="461"/>
      <c r="G6" s="458" t="s">
        <v>24</v>
      </c>
      <c r="H6" s="461"/>
      <c r="I6" s="8"/>
    </row>
    <row r="7" spans="1:9" ht="15.6" x14ac:dyDescent="0.3">
      <c r="A7" s="461"/>
      <c r="B7" s="461"/>
      <c r="C7" s="461"/>
      <c r="D7" s="461"/>
      <c r="E7" s="461"/>
      <c r="F7" s="461"/>
      <c r="G7" s="458" t="s">
        <v>24</v>
      </c>
      <c r="H7" s="461"/>
      <c r="I7" s="8"/>
    </row>
    <row r="8" spans="1:9" ht="15.6" x14ac:dyDescent="0.3">
      <c r="A8" s="461" t="s">
        <v>816</v>
      </c>
      <c r="B8" s="461"/>
      <c r="C8" s="461"/>
      <c r="D8" s="461"/>
      <c r="E8" s="461"/>
      <c r="F8" s="461"/>
      <c r="G8" s="462">
        <v>500</v>
      </c>
      <c r="H8" s="461"/>
      <c r="I8" s="8"/>
    </row>
    <row r="9" spans="1:9" ht="15.6" x14ac:dyDescent="0.3">
      <c r="A9" s="461" t="s">
        <v>817</v>
      </c>
      <c r="B9" s="461"/>
      <c r="C9" s="461"/>
      <c r="D9" s="461"/>
      <c r="E9" s="461"/>
      <c r="F9" s="461"/>
      <c r="G9" s="462">
        <v>200</v>
      </c>
      <c r="H9" s="461"/>
      <c r="I9" s="8"/>
    </row>
    <row r="10" spans="1:9" ht="15.6" x14ac:dyDescent="0.3">
      <c r="A10" s="461" t="s">
        <v>818</v>
      </c>
      <c r="B10" s="461"/>
      <c r="C10" s="461"/>
      <c r="D10" s="461"/>
      <c r="E10" s="461"/>
      <c r="F10" s="461"/>
      <c r="G10" s="462">
        <v>500</v>
      </c>
      <c r="H10" s="461"/>
      <c r="I10" s="8"/>
    </row>
    <row r="11" spans="1:9" ht="15.6" x14ac:dyDescent="0.3">
      <c r="A11" s="461"/>
      <c r="B11" s="461"/>
      <c r="C11" s="461"/>
      <c r="D11" s="461"/>
      <c r="E11" s="461"/>
      <c r="F11" s="461"/>
      <c r="G11" s="462"/>
      <c r="H11" s="461"/>
      <c r="I11" s="8"/>
    </row>
    <row r="12" spans="1:9" ht="15.6" x14ac:dyDescent="0.3">
      <c r="A12" s="463" t="s">
        <v>23</v>
      </c>
      <c r="B12" s="461"/>
      <c r="C12" s="461"/>
      <c r="D12" s="461"/>
      <c r="E12" s="461"/>
      <c r="F12" s="461"/>
      <c r="G12" s="464">
        <f>SUM(G8:G10)</f>
        <v>1200</v>
      </c>
      <c r="H12" s="461"/>
      <c r="I12" s="8"/>
    </row>
    <row r="13" spans="1:9" ht="15.6" x14ac:dyDescent="0.3">
      <c r="A13" s="461"/>
      <c r="B13" s="461"/>
      <c r="C13" s="461"/>
      <c r="D13" s="461"/>
      <c r="E13" s="461"/>
      <c r="F13" s="461"/>
      <c r="G13" s="462"/>
      <c r="H13" s="461"/>
      <c r="I13" s="8"/>
    </row>
    <row r="14" spans="1:9" ht="15.6" x14ac:dyDescent="0.3">
      <c r="A14" s="461"/>
      <c r="B14" s="461"/>
      <c r="C14" s="461"/>
      <c r="D14" s="461"/>
      <c r="E14" s="461"/>
      <c r="F14" s="461"/>
      <c r="G14" s="462"/>
      <c r="H14" s="461"/>
      <c r="I14" s="8"/>
    </row>
    <row r="15" spans="1:9" ht="15.6" x14ac:dyDescent="0.3">
      <c r="A15" s="461"/>
      <c r="B15" s="461"/>
      <c r="C15" s="461"/>
      <c r="D15" s="461"/>
      <c r="E15" s="461"/>
      <c r="F15" s="461"/>
      <c r="G15" s="462"/>
      <c r="H15" s="461"/>
      <c r="I15" s="8"/>
    </row>
    <row r="16" spans="1:9" ht="15.6" x14ac:dyDescent="0.3">
      <c r="A16" s="461"/>
      <c r="B16" s="461"/>
      <c r="C16" s="461"/>
      <c r="D16" s="461"/>
      <c r="E16" s="461"/>
      <c r="F16" s="461"/>
      <c r="G16" s="462"/>
      <c r="H16" s="461"/>
      <c r="I16" s="8"/>
    </row>
    <row r="17" spans="1:9" ht="15.6" x14ac:dyDescent="0.3">
      <c r="A17" s="465"/>
      <c r="B17" s="8"/>
      <c r="C17" s="8"/>
      <c r="D17" s="8"/>
      <c r="E17" s="8"/>
      <c r="F17" s="8"/>
      <c r="G17" s="325"/>
      <c r="H17" s="8"/>
      <c r="I17" s="8"/>
    </row>
  </sheetData>
  <mergeCells count="3">
    <mergeCell ref="A1:I1"/>
    <mergeCell ref="A3:I3"/>
    <mergeCell ref="A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D6B31-2CA6-4363-9D78-0417E52D9713}">
  <sheetPr>
    <pageSetUpPr fitToPage="1"/>
  </sheetPr>
  <dimension ref="A1:N189"/>
  <sheetViews>
    <sheetView tabSelected="1" view="pageBreakPreview" zoomScaleNormal="100" zoomScaleSheetLayoutView="100" workbookViewId="0">
      <selection activeCell="I1" sqref="I1"/>
    </sheetView>
  </sheetViews>
  <sheetFormatPr defaultColWidth="9.109375" defaultRowHeight="13.2" x14ac:dyDescent="0.25"/>
  <cols>
    <col min="1" max="1" width="6.6640625" style="8" customWidth="1"/>
    <col min="2" max="2" width="29.6640625" style="8" customWidth="1"/>
    <col min="3" max="3" width="41.44140625" style="8" customWidth="1"/>
    <col min="4" max="4" width="14.88671875" style="8" customWidth="1"/>
    <col min="5" max="8" width="14.5546875" style="8" customWidth="1"/>
    <col min="9" max="9" width="16" style="8" customWidth="1"/>
    <col min="10" max="10" width="11.44140625" style="8" customWidth="1"/>
    <col min="11" max="11" width="11.33203125" style="8" customWidth="1"/>
    <col min="12" max="12" width="10.88671875" style="8" customWidth="1"/>
    <col min="13" max="13" width="12.5546875" style="8" customWidth="1"/>
    <col min="14" max="14" width="11.109375" style="8" customWidth="1"/>
    <col min="15" max="16384" width="9.109375" style="8"/>
  </cols>
  <sheetData>
    <row r="1" spans="1:9" ht="13.8" x14ac:dyDescent="0.25">
      <c r="B1" s="466"/>
      <c r="C1" s="466"/>
      <c r="D1" s="466"/>
      <c r="E1" s="466"/>
      <c r="F1" s="466"/>
      <c r="G1" s="466"/>
      <c r="H1" s="466"/>
      <c r="I1" s="13" t="s">
        <v>970</v>
      </c>
    </row>
    <row r="2" spans="1:9" ht="13.8" x14ac:dyDescent="0.25">
      <c r="A2" s="467"/>
      <c r="B2" s="468"/>
      <c r="C2" s="468"/>
      <c r="D2" s="468"/>
      <c r="E2" s="468"/>
      <c r="F2" s="468"/>
      <c r="G2" s="468"/>
      <c r="H2" s="468"/>
      <c r="I2" s="9"/>
    </row>
    <row r="3" spans="1:9" ht="13.8" x14ac:dyDescent="0.3">
      <c r="A3" s="628" t="s">
        <v>822</v>
      </c>
      <c r="B3" s="628"/>
      <c r="C3" s="628"/>
      <c r="D3" s="628"/>
      <c r="E3" s="628"/>
      <c r="F3" s="628"/>
      <c r="G3" s="628"/>
      <c r="H3" s="628"/>
      <c r="I3" s="628"/>
    </row>
    <row r="4" spans="1:9" ht="13.8" x14ac:dyDescent="0.3">
      <c r="A4" s="467"/>
      <c r="B4" s="470"/>
      <c r="C4" s="467"/>
      <c r="D4" s="471"/>
      <c r="E4" s="471"/>
      <c r="F4" s="471"/>
      <c r="G4" s="471"/>
      <c r="H4" s="471"/>
      <c r="I4" s="471"/>
    </row>
    <row r="5" spans="1:9" ht="15.6" x14ac:dyDescent="0.3">
      <c r="A5" s="629" t="s">
        <v>657</v>
      </c>
      <c r="B5" s="629"/>
      <c r="C5" s="629"/>
      <c r="D5" s="629"/>
      <c r="E5" s="629"/>
      <c r="F5" s="629"/>
      <c r="G5" s="629"/>
      <c r="H5" s="629"/>
      <c r="I5" s="629"/>
    </row>
    <row r="6" spans="1:9" ht="13.8" x14ac:dyDescent="0.25">
      <c r="A6" s="467"/>
      <c r="B6" s="472"/>
      <c r="C6" s="473"/>
      <c r="D6" s="472"/>
      <c r="E6" s="472"/>
      <c r="F6" s="472"/>
      <c r="G6" s="472"/>
      <c r="H6" s="472"/>
      <c r="I6" s="474" t="s">
        <v>208</v>
      </c>
    </row>
    <row r="7" spans="1:9" ht="13.8" x14ac:dyDescent="0.25">
      <c r="A7" s="475" t="s">
        <v>823</v>
      </c>
      <c r="B7" s="476" t="s">
        <v>824</v>
      </c>
      <c r="C7" s="476" t="s">
        <v>825</v>
      </c>
      <c r="D7" s="476" t="s">
        <v>826</v>
      </c>
      <c r="E7" s="476" t="s">
        <v>827</v>
      </c>
      <c r="F7" s="476" t="s">
        <v>828</v>
      </c>
      <c r="G7" s="476" t="s">
        <v>213</v>
      </c>
      <c r="H7" s="476" t="s">
        <v>214</v>
      </c>
      <c r="I7" s="477" t="s">
        <v>220</v>
      </c>
    </row>
    <row r="8" spans="1:9" ht="13.8" x14ac:dyDescent="0.25">
      <c r="A8" s="475"/>
      <c r="B8" s="476"/>
      <c r="C8" s="476"/>
      <c r="D8" s="476"/>
      <c r="E8" s="476"/>
      <c r="F8" s="476"/>
      <c r="G8" s="476"/>
      <c r="H8" s="476"/>
      <c r="I8" s="477"/>
    </row>
    <row r="9" spans="1:9" ht="13.8" x14ac:dyDescent="0.25">
      <c r="A9" s="475"/>
      <c r="B9" s="476"/>
      <c r="C9" s="476"/>
      <c r="D9" s="476"/>
      <c r="E9" s="476"/>
      <c r="F9" s="476"/>
      <c r="G9" s="476"/>
      <c r="H9" s="476"/>
      <c r="I9" s="477"/>
    </row>
    <row r="10" spans="1:9" ht="29.25" customHeight="1" x14ac:dyDescent="0.25">
      <c r="A10" s="478">
        <v>1</v>
      </c>
      <c r="B10" s="479" t="s">
        <v>831</v>
      </c>
      <c r="C10" s="632" t="s">
        <v>832</v>
      </c>
      <c r="D10" s="632"/>
      <c r="E10" s="476"/>
      <c r="F10" s="476"/>
      <c r="G10" s="476"/>
      <c r="H10" s="476"/>
      <c r="I10" s="477"/>
    </row>
    <row r="11" spans="1:9" ht="13.8" x14ac:dyDescent="0.25">
      <c r="A11" s="475"/>
      <c r="B11" s="481" t="s">
        <v>30</v>
      </c>
      <c r="C11" s="476"/>
      <c r="D11" s="476"/>
      <c r="E11" s="476"/>
      <c r="F11" s="476"/>
      <c r="G11" s="476"/>
      <c r="H11" s="476"/>
      <c r="I11" s="477"/>
    </row>
    <row r="12" spans="1:9" ht="13.8" x14ac:dyDescent="0.25">
      <c r="A12" s="475"/>
      <c r="B12" s="482" t="s">
        <v>829</v>
      </c>
      <c r="C12" s="483"/>
      <c r="D12" s="471">
        <v>12208872</v>
      </c>
      <c r="E12" s="471">
        <v>0</v>
      </c>
      <c r="F12" s="471">
        <v>0</v>
      </c>
      <c r="G12" s="471"/>
      <c r="H12" s="471"/>
      <c r="I12" s="471">
        <f>SUM(D12:H12)</f>
        <v>12208872</v>
      </c>
    </row>
    <row r="13" spans="1:9" ht="13.8" x14ac:dyDescent="0.25">
      <c r="A13" s="475"/>
      <c r="B13" s="482" t="s">
        <v>833</v>
      </c>
      <c r="C13" s="483"/>
      <c r="D13" s="471"/>
      <c r="E13" s="471"/>
      <c r="F13" s="471">
        <v>71250</v>
      </c>
      <c r="G13" s="471">
        <v>288000</v>
      </c>
      <c r="H13" s="471"/>
      <c r="I13" s="471">
        <f>SUM(D13:H13)</f>
        <v>359250</v>
      </c>
    </row>
    <row r="14" spans="1:9" ht="13.8" x14ac:dyDescent="0.3">
      <c r="A14" s="488"/>
      <c r="B14" s="489" t="s">
        <v>25</v>
      </c>
      <c r="C14" s="490"/>
      <c r="D14" s="491">
        <f>SUM(D12:D12)</f>
        <v>12208872</v>
      </c>
      <c r="E14" s="491">
        <f>SUM(E12:E12)</f>
        <v>0</v>
      </c>
      <c r="F14" s="491">
        <f>SUM(F12:F13)</f>
        <v>71250</v>
      </c>
      <c r="G14" s="491">
        <f>SUM(G12:G13)</f>
        <v>288000</v>
      </c>
      <c r="H14" s="491"/>
      <c r="I14" s="491">
        <f>SUM(I12:I13)</f>
        <v>12568122</v>
      </c>
    </row>
    <row r="15" spans="1:9" ht="13.8" x14ac:dyDescent="0.3">
      <c r="A15" s="467"/>
      <c r="B15" s="492"/>
      <c r="C15" s="476"/>
      <c r="D15" s="493"/>
      <c r="E15" s="493"/>
      <c r="F15" s="493"/>
      <c r="G15" s="493"/>
      <c r="H15" s="493"/>
      <c r="I15" s="493"/>
    </row>
    <row r="16" spans="1:9" ht="27" customHeight="1" x14ac:dyDescent="0.25">
      <c r="A16" s="478">
        <v>2</v>
      </c>
      <c r="B16" s="479" t="s">
        <v>834</v>
      </c>
      <c r="C16" s="632" t="s">
        <v>835</v>
      </c>
      <c r="D16" s="632"/>
      <c r="E16" s="476"/>
      <c r="F16" s="476"/>
      <c r="G16" s="476"/>
      <c r="H16" s="476"/>
      <c r="I16" s="477"/>
    </row>
    <row r="17" spans="1:9" ht="13.8" x14ac:dyDescent="0.25">
      <c r="A17" s="475"/>
      <c r="B17" s="481" t="s">
        <v>30</v>
      </c>
      <c r="C17" s="476"/>
      <c r="D17" s="476"/>
      <c r="E17" s="476"/>
      <c r="F17" s="476"/>
      <c r="G17" s="476"/>
      <c r="H17" s="476"/>
      <c r="I17" s="477"/>
    </row>
    <row r="18" spans="1:9" ht="13.8" x14ac:dyDescent="0.25">
      <c r="A18" s="475"/>
      <c r="B18" s="482" t="s">
        <v>829</v>
      </c>
      <c r="C18" s="483"/>
      <c r="D18" s="471">
        <v>9743650</v>
      </c>
      <c r="E18" s="471">
        <v>1071600</v>
      </c>
      <c r="F18" s="471"/>
      <c r="G18" s="471">
        <v>477078</v>
      </c>
      <c r="H18" s="471"/>
      <c r="I18" s="471">
        <f>SUM(D18:H18)</f>
        <v>11292328</v>
      </c>
    </row>
    <row r="19" spans="1:9" ht="13.8" x14ac:dyDescent="0.25">
      <c r="A19" s="475"/>
      <c r="B19" s="482" t="s">
        <v>833</v>
      </c>
      <c r="C19" s="483"/>
      <c r="D19" s="471"/>
      <c r="E19" s="471"/>
      <c r="F19" s="471"/>
      <c r="G19" s="471">
        <v>407187</v>
      </c>
      <c r="H19" s="471"/>
      <c r="I19" s="471">
        <f>SUM(D19:H19)</f>
        <v>407187</v>
      </c>
    </row>
    <row r="20" spans="1:9" ht="13.8" x14ac:dyDescent="0.3">
      <c r="A20" s="488"/>
      <c r="B20" s="489" t="s">
        <v>25</v>
      </c>
      <c r="C20" s="490"/>
      <c r="D20" s="491">
        <f>SUM(D18:D18)</f>
        <v>9743650</v>
      </c>
      <c r="E20" s="491">
        <f>SUM(E18:E18)</f>
        <v>1071600</v>
      </c>
      <c r="F20" s="491">
        <f>SUM(F18:F19)</f>
        <v>0</v>
      </c>
      <c r="G20" s="491">
        <f t="shared" ref="G20:I20" si="0">SUM(G18:G19)</f>
        <v>884265</v>
      </c>
      <c r="H20" s="491"/>
      <c r="I20" s="491">
        <f t="shared" si="0"/>
        <v>11699515</v>
      </c>
    </row>
    <row r="21" spans="1:9" ht="13.8" x14ac:dyDescent="0.3">
      <c r="A21" s="467"/>
      <c r="B21" s="492"/>
      <c r="C21" s="476"/>
      <c r="D21" s="493"/>
      <c r="E21" s="493"/>
      <c r="F21" s="493"/>
      <c r="G21" s="493"/>
      <c r="H21" s="493"/>
      <c r="I21" s="493"/>
    </row>
    <row r="22" spans="1:9" ht="36.75" customHeight="1" x14ac:dyDescent="0.25">
      <c r="A22" s="478">
        <v>3</v>
      </c>
      <c r="B22" s="479" t="s">
        <v>836</v>
      </c>
      <c r="C22" s="632" t="s">
        <v>837</v>
      </c>
      <c r="D22" s="632"/>
      <c r="E22" s="476"/>
      <c r="F22" s="476"/>
      <c r="G22" s="476"/>
      <c r="H22" s="476"/>
      <c r="I22" s="477"/>
    </row>
    <row r="23" spans="1:9" ht="13.8" x14ac:dyDescent="0.25">
      <c r="A23" s="475"/>
      <c r="B23" s="481" t="s">
        <v>30</v>
      </c>
      <c r="C23" s="476"/>
      <c r="D23" s="476"/>
      <c r="E23" s="476"/>
      <c r="F23" s="476"/>
      <c r="G23" s="476"/>
      <c r="H23" s="476"/>
      <c r="I23" s="477"/>
    </row>
    <row r="24" spans="1:9" ht="13.8" x14ac:dyDescent="0.25">
      <c r="A24" s="475"/>
      <c r="B24" s="482" t="s">
        <v>829</v>
      </c>
      <c r="C24" s="483"/>
      <c r="D24" s="471">
        <v>21236614</v>
      </c>
      <c r="E24" s="471">
        <v>0</v>
      </c>
      <c r="F24" s="471">
        <v>1092178</v>
      </c>
      <c r="G24" s="471">
        <v>1504111</v>
      </c>
      <c r="H24" s="471"/>
      <c r="I24" s="471">
        <f>SUM(D24:H24)</f>
        <v>23832903</v>
      </c>
    </row>
    <row r="25" spans="1:9" ht="13.8" x14ac:dyDescent="0.25">
      <c r="A25" s="475"/>
      <c r="B25" s="482" t="s">
        <v>833</v>
      </c>
      <c r="C25" s="483"/>
      <c r="D25" s="471"/>
      <c r="E25" s="471"/>
      <c r="G25" s="471"/>
      <c r="H25" s="471"/>
      <c r="I25" s="471">
        <f>SUM(D25:H25)</f>
        <v>0</v>
      </c>
    </row>
    <row r="26" spans="1:9" ht="13.8" x14ac:dyDescent="0.3">
      <c r="A26" s="488"/>
      <c r="B26" s="489" t="s">
        <v>25</v>
      </c>
      <c r="C26" s="490"/>
      <c r="D26" s="491">
        <f>SUM(D24:D25)</f>
        <v>21236614</v>
      </c>
      <c r="E26" s="491">
        <f t="shared" ref="E26:G26" si="1">SUM(E24:E25)</f>
        <v>0</v>
      </c>
      <c r="F26" s="491">
        <f t="shared" si="1"/>
        <v>1092178</v>
      </c>
      <c r="G26" s="491">
        <f t="shared" si="1"/>
        <v>1504111</v>
      </c>
      <c r="H26" s="491"/>
      <c r="I26" s="491">
        <f>SUM(I24:I25)</f>
        <v>23832903</v>
      </c>
    </row>
    <row r="27" spans="1:9" ht="13.8" x14ac:dyDescent="0.25">
      <c r="A27" s="475"/>
      <c r="B27" s="476"/>
      <c r="C27" s="476"/>
      <c r="D27" s="476"/>
      <c r="E27" s="476"/>
      <c r="F27" s="476"/>
      <c r="G27" s="476"/>
      <c r="H27" s="476"/>
      <c r="I27" s="477"/>
    </row>
    <row r="28" spans="1:9" ht="26.4" x14ac:dyDescent="0.25">
      <c r="A28" s="478">
        <v>4</v>
      </c>
      <c r="B28" s="479" t="s">
        <v>838</v>
      </c>
      <c r="C28" s="480" t="s">
        <v>839</v>
      </c>
      <c r="D28" s="476"/>
      <c r="E28" s="476"/>
      <c r="F28" s="476"/>
      <c r="G28" s="476"/>
      <c r="H28" s="476"/>
      <c r="I28" s="477"/>
    </row>
    <row r="29" spans="1:9" ht="13.8" x14ac:dyDescent="0.25">
      <c r="A29" s="475"/>
      <c r="B29" s="481" t="s">
        <v>30</v>
      </c>
      <c r="C29" s="476"/>
      <c r="D29" s="476"/>
      <c r="E29" s="476"/>
      <c r="F29" s="476"/>
      <c r="G29" s="476"/>
      <c r="H29" s="476"/>
      <c r="I29" s="477"/>
    </row>
    <row r="30" spans="1:9" ht="13.8" x14ac:dyDescent="0.25">
      <c r="A30" s="475"/>
      <c r="B30" s="482" t="s">
        <v>829</v>
      </c>
      <c r="C30" s="483"/>
      <c r="D30" s="471">
        <v>0</v>
      </c>
      <c r="E30" s="471">
        <v>222596761</v>
      </c>
      <c r="F30" s="471"/>
      <c r="G30" s="471">
        <v>30341547</v>
      </c>
      <c r="H30" s="471"/>
      <c r="I30" s="471">
        <f>SUM(D30:H30)</f>
        <v>252938308</v>
      </c>
    </row>
    <row r="31" spans="1:9" ht="13.8" x14ac:dyDescent="0.3">
      <c r="A31" s="488"/>
      <c r="B31" s="489" t="s">
        <v>25</v>
      </c>
      <c r="C31" s="490"/>
      <c r="D31" s="491">
        <f>SUM(D30:D30)</f>
        <v>0</v>
      </c>
      <c r="E31" s="491">
        <f>SUM(E30:E30)</f>
        <v>222596761</v>
      </c>
      <c r="F31" s="491">
        <f>SUM(F30:F30)</f>
        <v>0</v>
      </c>
      <c r="G31" s="491">
        <f>SUM(G30:G30)</f>
        <v>30341547</v>
      </c>
      <c r="H31" s="491"/>
      <c r="I31" s="491">
        <f>SUM(I30:I30)</f>
        <v>252938308</v>
      </c>
    </row>
    <row r="32" spans="1:9" ht="13.8" x14ac:dyDescent="0.3">
      <c r="A32" s="467"/>
      <c r="B32" s="492"/>
      <c r="C32" s="476"/>
      <c r="D32" s="493"/>
      <c r="E32" s="493"/>
      <c r="F32" s="493"/>
      <c r="G32" s="493"/>
      <c r="H32" s="493"/>
      <c r="I32" s="493"/>
    </row>
    <row r="33" spans="1:14" x14ac:dyDescent="0.25">
      <c r="A33" s="478">
        <v>5</v>
      </c>
      <c r="B33" s="479" t="s">
        <v>840</v>
      </c>
      <c r="C33" s="494" t="s">
        <v>841</v>
      </c>
    </row>
    <row r="34" spans="1:14" ht="13.8" x14ac:dyDescent="0.3">
      <c r="A34" s="467"/>
      <c r="B34" s="492"/>
      <c r="C34" s="476"/>
    </row>
    <row r="35" spans="1:14" ht="13.8" x14ac:dyDescent="0.3">
      <c r="A35" s="467"/>
      <c r="B35" s="481" t="s">
        <v>30</v>
      </c>
      <c r="C35" s="476"/>
      <c r="D35" s="493"/>
      <c r="E35" s="493"/>
      <c r="F35" s="493"/>
      <c r="G35" s="493"/>
      <c r="H35" s="493"/>
      <c r="I35" s="493"/>
    </row>
    <row r="36" spans="1:14" ht="13.8" x14ac:dyDescent="0.25">
      <c r="A36" s="467"/>
      <c r="B36" s="495" t="s">
        <v>842</v>
      </c>
      <c r="C36" s="476"/>
      <c r="D36" s="471">
        <v>86366819</v>
      </c>
      <c r="E36" s="471"/>
      <c r="F36" s="471">
        <v>59663381</v>
      </c>
      <c r="G36" s="471">
        <v>602660</v>
      </c>
      <c r="H36" s="471"/>
      <c r="I36" s="471">
        <f>SUM(D36:G36)</f>
        <v>146632860</v>
      </c>
      <c r="J36" s="471"/>
      <c r="K36" s="471"/>
      <c r="L36" s="471"/>
      <c r="M36" s="471"/>
      <c r="N36" s="471"/>
    </row>
    <row r="37" spans="1:14" ht="13.8" x14ac:dyDescent="0.25">
      <c r="A37" s="467"/>
      <c r="B37" s="482" t="s">
        <v>830</v>
      </c>
      <c r="C37" s="476"/>
      <c r="D37" s="471">
        <v>426500</v>
      </c>
      <c r="E37" s="471">
        <v>100000</v>
      </c>
      <c r="F37" s="471">
        <v>2772940</v>
      </c>
      <c r="G37" s="471"/>
      <c r="H37" s="471"/>
      <c r="I37" s="471">
        <f>SUM(D37:F37)</f>
        <v>3299440</v>
      </c>
      <c r="J37" s="471"/>
      <c r="K37" s="471"/>
      <c r="L37" s="471"/>
      <c r="M37" s="471"/>
      <c r="N37" s="471"/>
    </row>
    <row r="38" spans="1:14" ht="13.8" x14ac:dyDescent="0.3">
      <c r="A38" s="496"/>
      <c r="B38" s="497" t="s">
        <v>25</v>
      </c>
      <c r="C38" s="490"/>
      <c r="D38" s="491">
        <f>SUM(D36:D37)</f>
        <v>86793319</v>
      </c>
      <c r="E38" s="491">
        <f t="shared" ref="E38:I38" si="2">SUM(E36:E37)</f>
        <v>100000</v>
      </c>
      <c r="F38" s="491">
        <f t="shared" si="2"/>
        <v>62436321</v>
      </c>
      <c r="G38" s="491">
        <f t="shared" si="2"/>
        <v>602660</v>
      </c>
      <c r="H38" s="491"/>
      <c r="I38" s="491">
        <f t="shared" si="2"/>
        <v>149932300</v>
      </c>
      <c r="J38" s="493"/>
      <c r="K38" s="493"/>
      <c r="L38" s="493"/>
      <c r="M38" s="493"/>
      <c r="N38" s="493"/>
    </row>
    <row r="39" spans="1:14" ht="13.8" x14ac:dyDescent="0.3">
      <c r="B39" s="498"/>
      <c r="C39" s="499"/>
      <c r="D39" s="500"/>
      <c r="E39" s="500"/>
      <c r="F39" s="493"/>
      <c r="G39" s="493"/>
      <c r="H39" s="493"/>
      <c r="I39" s="493"/>
      <c r="J39" s="500"/>
      <c r="K39" s="500"/>
      <c r="L39" s="493"/>
      <c r="M39" s="493"/>
      <c r="N39" s="493"/>
    </row>
    <row r="40" spans="1:14" ht="26.4" x14ac:dyDescent="0.25">
      <c r="A40" s="478">
        <v>6</v>
      </c>
      <c r="B40" s="479" t="s">
        <v>843</v>
      </c>
      <c r="C40" s="480" t="s">
        <v>844</v>
      </c>
      <c r="D40" s="476"/>
      <c r="E40" s="476"/>
      <c r="F40" s="476"/>
      <c r="G40" s="476"/>
      <c r="H40" s="476"/>
      <c r="I40" s="477"/>
      <c r="J40" s="476"/>
      <c r="K40" s="476"/>
      <c r="L40" s="476"/>
      <c r="M40" s="476"/>
      <c r="N40" s="477"/>
    </row>
    <row r="41" spans="1:14" ht="13.8" x14ac:dyDescent="0.25">
      <c r="A41" s="475"/>
      <c r="B41" s="481" t="s">
        <v>30</v>
      </c>
      <c r="C41" s="476"/>
      <c r="D41" s="476"/>
      <c r="E41" s="476"/>
      <c r="F41" s="476"/>
      <c r="G41" s="476"/>
      <c r="H41" s="476"/>
      <c r="I41" s="477"/>
      <c r="J41" s="476"/>
      <c r="K41" s="476"/>
      <c r="L41" s="476"/>
      <c r="M41" s="476"/>
      <c r="N41" s="477"/>
    </row>
    <row r="42" spans="1:14" ht="13.8" x14ac:dyDescent="0.25">
      <c r="A42" s="475"/>
      <c r="B42" s="482" t="s">
        <v>829</v>
      </c>
      <c r="C42" s="483"/>
      <c r="D42" s="471">
        <v>182311166</v>
      </c>
      <c r="E42" s="471">
        <v>0</v>
      </c>
      <c r="F42" s="471">
        <v>305317100</v>
      </c>
      <c r="G42" s="471">
        <v>28705974</v>
      </c>
      <c r="H42" s="471"/>
      <c r="I42" s="471">
        <f>SUM(D42:H42)</f>
        <v>516334240</v>
      </c>
      <c r="J42" s="471"/>
      <c r="K42" s="471"/>
      <c r="L42" s="471"/>
      <c r="M42" s="471"/>
      <c r="N42" s="471"/>
    </row>
    <row r="43" spans="1:14" ht="13.8" x14ac:dyDescent="0.25">
      <c r="A43" s="475"/>
      <c r="B43" s="482" t="s">
        <v>830</v>
      </c>
      <c r="C43" s="483"/>
      <c r="D43" s="471">
        <v>5237866</v>
      </c>
      <c r="E43" s="471"/>
      <c r="F43" s="471"/>
      <c r="G43" s="471">
        <v>1716183</v>
      </c>
      <c r="H43" s="471"/>
      <c r="I43" s="471">
        <f>SUM(D43:H43)</f>
        <v>6954049</v>
      </c>
      <c r="J43" s="471"/>
      <c r="K43" s="471"/>
      <c r="M43" s="471"/>
      <c r="N43" s="471"/>
    </row>
    <row r="44" spans="1:14" ht="13.8" x14ac:dyDescent="0.3">
      <c r="A44" s="488"/>
      <c r="B44" s="489" t="s">
        <v>25</v>
      </c>
      <c r="C44" s="490"/>
      <c r="D44" s="491">
        <f>SUM(D42:D43)</f>
        <v>187549032</v>
      </c>
      <c r="E44" s="491">
        <f>SUM(E42:E43)</f>
        <v>0</v>
      </c>
      <c r="F44" s="491">
        <f>SUM(F42:F43)</f>
        <v>305317100</v>
      </c>
      <c r="G44" s="491">
        <f>SUM(G42:G43)</f>
        <v>30422157</v>
      </c>
      <c r="H44" s="491"/>
      <c r="I44" s="491">
        <f>SUM(I42:I43)</f>
        <v>523288289</v>
      </c>
      <c r="J44" s="493"/>
      <c r="K44" s="493"/>
      <c r="L44" s="493"/>
      <c r="M44" s="493"/>
      <c r="N44" s="493"/>
    </row>
    <row r="45" spans="1:14" ht="13.8" x14ac:dyDescent="0.3">
      <c r="B45" s="498"/>
      <c r="C45" s="499"/>
      <c r="D45" s="493"/>
      <c r="E45" s="500"/>
      <c r="F45" s="493"/>
      <c r="G45" s="493"/>
      <c r="H45" s="493"/>
      <c r="I45" s="493"/>
      <c r="J45" s="493"/>
      <c r="K45" s="500"/>
      <c r="L45" s="493"/>
      <c r="M45" s="493"/>
      <c r="N45" s="493"/>
    </row>
    <row r="46" spans="1:14" ht="28.5" customHeight="1" x14ac:dyDescent="0.25">
      <c r="A46" s="478">
        <v>7</v>
      </c>
      <c r="B46" s="501" t="s">
        <v>845</v>
      </c>
      <c r="C46" s="632" t="s">
        <v>846</v>
      </c>
      <c r="D46" s="632"/>
      <c r="E46" s="476"/>
      <c r="F46" s="476"/>
      <c r="G46" s="476"/>
      <c r="H46" s="476"/>
      <c r="I46" s="477"/>
      <c r="K46" s="476"/>
      <c r="L46" s="476"/>
      <c r="M46" s="476"/>
      <c r="N46" s="477"/>
    </row>
    <row r="47" spans="1:14" ht="13.8" x14ac:dyDescent="0.25">
      <c r="A47" s="502"/>
      <c r="B47" s="503"/>
      <c r="C47" s="480"/>
      <c r="E47" s="476"/>
      <c r="F47" s="476"/>
      <c r="G47" s="476"/>
      <c r="H47" s="476"/>
      <c r="I47" s="477"/>
      <c r="K47" s="476"/>
      <c r="L47" s="476"/>
      <c r="M47" s="476"/>
      <c r="N47" s="477"/>
    </row>
    <row r="48" spans="1:14" ht="13.8" x14ac:dyDescent="0.25">
      <c r="A48" s="502"/>
      <c r="B48" s="504" t="s">
        <v>30</v>
      </c>
      <c r="C48" s="480"/>
      <c r="E48" s="476"/>
      <c r="F48" s="476"/>
      <c r="G48" s="476"/>
      <c r="H48" s="476"/>
      <c r="I48" s="477"/>
      <c r="K48" s="476"/>
      <c r="L48" s="476"/>
      <c r="M48" s="476"/>
      <c r="N48" s="477"/>
    </row>
    <row r="49" spans="1:9" ht="13.8" x14ac:dyDescent="0.25">
      <c r="B49" s="505" t="s">
        <v>842</v>
      </c>
      <c r="C49" s="476"/>
      <c r="D49" s="506">
        <v>227367360</v>
      </c>
      <c r="E49" s="507">
        <v>0</v>
      </c>
      <c r="F49" s="507">
        <v>57212817</v>
      </c>
      <c r="G49" s="507"/>
      <c r="H49" s="507"/>
      <c r="I49" s="471">
        <f>SUM(D49:H49)</f>
        <v>284580177</v>
      </c>
    </row>
    <row r="50" spans="1:9" ht="13.8" x14ac:dyDescent="0.25">
      <c r="B50" s="482" t="s">
        <v>830</v>
      </c>
      <c r="C50" s="476"/>
      <c r="D50" s="506"/>
      <c r="E50" s="506"/>
      <c r="F50" s="506">
        <v>6642376</v>
      </c>
      <c r="G50" s="506"/>
      <c r="H50" s="506"/>
      <c r="I50" s="471">
        <f>SUM(D50:H50)</f>
        <v>6642376</v>
      </c>
    </row>
    <row r="51" spans="1:9" ht="13.8" x14ac:dyDescent="0.3">
      <c r="A51" s="496"/>
      <c r="B51" s="497" t="s">
        <v>25</v>
      </c>
      <c r="C51" s="490"/>
      <c r="D51" s="508">
        <f>SUM(D49:D50)</f>
        <v>227367360</v>
      </c>
      <c r="E51" s="508">
        <f t="shared" ref="E51:I51" si="3">SUM(E49:E50)</f>
        <v>0</v>
      </c>
      <c r="F51" s="508">
        <f t="shared" si="3"/>
        <v>63855193</v>
      </c>
      <c r="G51" s="508"/>
      <c r="H51" s="508"/>
      <c r="I51" s="508">
        <f t="shared" si="3"/>
        <v>291222553</v>
      </c>
    </row>
    <row r="52" spans="1:9" ht="13.8" x14ac:dyDescent="0.3">
      <c r="B52" s="498"/>
      <c r="C52" s="499"/>
      <c r="D52" s="493"/>
      <c r="E52" s="500"/>
      <c r="F52" s="509"/>
      <c r="G52" s="509"/>
      <c r="H52" s="509"/>
      <c r="I52" s="509"/>
    </row>
    <row r="53" spans="1:9" ht="13.8" x14ac:dyDescent="0.25">
      <c r="A53" s="478">
        <v>8</v>
      </c>
      <c r="B53" s="479" t="s">
        <v>847</v>
      </c>
      <c r="C53" s="480" t="s">
        <v>848</v>
      </c>
      <c r="D53" s="476"/>
      <c r="E53" s="476"/>
      <c r="F53" s="476"/>
      <c r="G53" s="476"/>
      <c r="H53" s="476"/>
      <c r="I53" s="477"/>
    </row>
    <row r="54" spans="1:9" ht="13.8" x14ac:dyDescent="0.25">
      <c r="A54" s="475"/>
      <c r="B54" s="481" t="s">
        <v>30</v>
      </c>
      <c r="C54" s="476"/>
      <c r="D54" s="476"/>
      <c r="E54" s="476"/>
      <c r="F54" s="476"/>
      <c r="G54" s="476"/>
      <c r="H54" s="476"/>
      <c r="I54" s="477"/>
    </row>
    <row r="55" spans="1:9" ht="13.8" x14ac:dyDescent="0.25">
      <c r="A55" s="475"/>
      <c r="B55" s="482" t="s">
        <v>829</v>
      </c>
      <c r="C55" s="483"/>
      <c r="D55" s="471">
        <v>0</v>
      </c>
      <c r="E55" s="471"/>
      <c r="F55" s="471"/>
      <c r="G55" s="471">
        <v>135999981</v>
      </c>
      <c r="H55" s="471"/>
      <c r="I55" s="471">
        <f>SUM(D55:H55)</f>
        <v>135999981</v>
      </c>
    </row>
    <row r="56" spans="1:9" ht="13.8" x14ac:dyDescent="0.25">
      <c r="A56" s="475"/>
      <c r="B56" s="482" t="s">
        <v>830</v>
      </c>
      <c r="C56" s="483"/>
      <c r="D56" s="471">
        <v>1076498</v>
      </c>
      <c r="E56" s="471">
        <v>0</v>
      </c>
      <c r="F56" s="471">
        <v>0</v>
      </c>
      <c r="G56" s="471">
        <v>0</v>
      </c>
      <c r="H56" s="471"/>
      <c r="I56" s="471">
        <f>SUM(D56:H56)</f>
        <v>1076498</v>
      </c>
    </row>
    <row r="57" spans="1:9" ht="13.8" x14ac:dyDescent="0.3">
      <c r="A57" s="488"/>
      <c r="B57" s="489" t="s">
        <v>25</v>
      </c>
      <c r="C57" s="490"/>
      <c r="D57" s="491">
        <f>SUM(D55:D56)</f>
        <v>1076498</v>
      </c>
      <c r="E57" s="491">
        <f t="shared" ref="E57:I57" si="4">SUM(E55:E56)</f>
        <v>0</v>
      </c>
      <c r="F57" s="491">
        <f t="shared" si="4"/>
        <v>0</v>
      </c>
      <c r="G57" s="491">
        <f t="shared" ref="G57" si="5">SUM(G55:G56)</f>
        <v>135999981</v>
      </c>
      <c r="H57" s="491"/>
      <c r="I57" s="491">
        <f t="shared" si="4"/>
        <v>137076479</v>
      </c>
    </row>
    <row r="58" spans="1:9" ht="13.8" x14ac:dyDescent="0.3">
      <c r="A58" s="467"/>
      <c r="B58" s="492"/>
      <c r="C58" s="476"/>
      <c r="D58" s="493"/>
      <c r="E58" s="493"/>
      <c r="F58" s="493"/>
      <c r="G58" s="493"/>
      <c r="H58" s="493"/>
      <c r="I58" s="493"/>
    </row>
    <row r="59" spans="1:9" ht="26.4" x14ac:dyDescent="0.25">
      <c r="A59" s="478">
        <v>9</v>
      </c>
      <c r="B59" s="479" t="s">
        <v>849</v>
      </c>
      <c r="C59" s="480" t="s">
        <v>850</v>
      </c>
      <c r="D59" s="476"/>
      <c r="E59" s="476"/>
      <c r="F59" s="476"/>
      <c r="G59" s="476"/>
      <c r="H59" s="476"/>
      <c r="I59" s="477"/>
    </row>
    <row r="60" spans="1:9" ht="13.8" x14ac:dyDescent="0.25">
      <c r="A60" s="475"/>
      <c r="B60" s="481" t="s">
        <v>30</v>
      </c>
      <c r="C60" s="476"/>
      <c r="D60" s="476"/>
      <c r="E60" s="476"/>
      <c r="F60" s="476"/>
      <c r="G60" s="476"/>
      <c r="H60" s="476"/>
      <c r="I60" s="477"/>
    </row>
    <row r="61" spans="1:9" ht="13.8" x14ac:dyDescent="0.25">
      <c r="A61" s="475"/>
      <c r="B61" s="482" t="s">
        <v>829</v>
      </c>
      <c r="C61" s="483"/>
      <c r="D61" s="471">
        <v>0</v>
      </c>
      <c r="E61" s="471">
        <v>118454688</v>
      </c>
      <c r="F61" s="471">
        <v>0</v>
      </c>
      <c r="G61" s="471"/>
      <c r="H61" s="471"/>
      <c r="I61" s="471">
        <f>SUM(D61:H61)</f>
        <v>118454688</v>
      </c>
    </row>
    <row r="62" spans="1:9" ht="13.8" x14ac:dyDescent="0.25">
      <c r="A62" s="475"/>
      <c r="B62" s="482" t="s">
        <v>851</v>
      </c>
      <c r="C62" s="483"/>
      <c r="D62" s="471"/>
      <c r="E62" s="471"/>
      <c r="F62" s="471">
        <v>3078000</v>
      </c>
      <c r="G62" s="471"/>
      <c r="H62" s="471"/>
      <c r="I62" s="471">
        <f>SUM(D62:H62)</f>
        <v>3078000</v>
      </c>
    </row>
    <row r="63" spans="1:9" ht="13.8" x14ac:dyDescent="0.3">
      <c r="A63" s="484"/>
      <c r="B63" s="485" t="s">
        <v>25</v>
      </c>
      <c r="C63" s="486"/>
      <c r="D63" s="487">
        <f>SUM(D61:D61)</f>
        <v>0</v>
      </c>
      <c r="E63" s="487">
        <f>SUM(E61:E61)</f>
        <v>118454688</v>
      </c>
      <c r="F63" s="487">
        <f>SUM(F61:F62)</f>
        <v>3078000</v>
      </c>
      <c r="G63" s="487"/>
      <c r="H63" s="487"/>
      <c r="I63" s="487">
        <f>SUM(I61:I62)</f>
        <v>121532688</v>
      </c>
    </row>
    <row r="64" spans="1:9" ht="13.8" x14ac:dyDescent="0.3">
      <c r="A64" s="467"/>
      <c r="B64" s="492"/>
      <c r="C64" s="476"/>
      <c r="D64" s="493"/>
      <c r="E64" s="493"/>
      <c r="F64" s="493"/>
      <c r="G64" s="493"/>
      <c r="H64" s="493"/>
      <c r="I64" s="493"/>
    </row>
    <row r="65" spans="1:9" ht="26.4" x14ac:dyDescent="0.25">
      <c r="A65" s="478">
        <v>10</v>
      </c>
      <c r="B65" s="479" t="s">
        <v>852</v>
      </c>
      <c r="C65" s="480" t="s">
        <v>853</v>
      </c>
      <c r="D65" s="476"/>
      <c r="E65" s="476"/>
      <c r="F65" s="476"/>
      <c r="G65" s="476"/>
      <c r="H65" s="476"/>
      <c r="I65" s="477"/>
    </row>
    <row r="66" spans="1:9" ht="13.8" x14ac:dyDescent="0.25">
      <c r="A66" s="475"/>
      <c r="B66" s="481" t="s">
        <v>30</v>
      </c>
      <c r="C66" s="476"/>
      <c r="D66" s="476"/>
      <c r="E66" s="476"/>
      <c r="F66" s="476"/>
      <c r="G66" s="476"/>
      <c r="H66" s="476"/>
      <c r="I66" s="477"/>
    </row>
    <row r="67" spans="1:9" ht="13.8" x14ac:dyDescent="0.25">
      <c r="A67" s="475"/>
      <c r="B67" s="482" t="s">
        <v>829</v>
      </c>
      <c r="C67" s="483"/>
      <c r="D67" s="471">
        <v>0</v>
      </c>
      <c r="E67" s="471">
        <v>378567754</v>
      </c>
      <c r="F67" s="471">
        <v>0</v>
      </c>
      <c r="G67" s="471">
        <v>9132245</v>
      </c>
      <c r="H67" s="471"/>
      <c r="I67" s="471">
        <f>SUM(D67:H67)</f>
        <v>387699999</v>
      </c>
    </row>
    <row r="68" spans="1:9" ht="13.8" x14ac:dyDescent="0.3">
      <c r="A68" s="484"/>
      <c r="B68" s="485" t="s">
        <v>25</v>
      </c>
      <c r="C68" s="486"/>
      <c r="D68" s="487">
        <f>SUM(D67:D67)</f>
        <v>0</v>
      </c>
      <c r="E68" s="487">
        <f>SUM(E67:E67)</f>
        <v>378567754</v>
      </c>
      <c r="F68" s="487">
        <f>SUM(F67:F67)</f>
        <v>0</v>
      </c>
      <c r="G68" s="487">
        <f>SUM(G67:G67)</f>
        <v>9132245</v>
      </c>
      <c r="H68" s="487"/>
      <c r="I68" s="487">
        <f>SUM(I67:I67)</f>
        <v>387699999</v>
      </c>
    </row>
    <row r="69" spans="1:9" ht="13.8" x14ac:dyDescent="0.3">
      <c r="A69" s="467"/>
      <c r="B69" s="492"/>
      <c r="C69" s="476"/>
      <c r="D69" s="493"/>
      <c r="E69" s="493"/>
      <c r="F69" s="493"/>
      <c r="G69" s="493"/>
      <c r="H69" s="493"/>
      <c r="I69" s="493"/>
    </row>
    <row r="70" spans="1:9" ht="39.6" x14ac:dyDescent="0.25">
      <c r="A70" s="478">
        <v>11</v>
      </c>
      <c r="B70" s="479" t="s">
        <v>854</v>
      </c>
      <c r="C70" s="480" t="s">
        <v>855</v>
      </c>
      <c r="D70" s="476"/>
      <c r="E70" s="476"/>
      <c r="F70" s="476"/>
      <c r="G70" s="476"/>
      <c r="H70" s="476"/>
      <c r="I70" s="477"/>
    </row>
    <row r="71" spans="1:9" ht="13.8" x14ac:dyDescent="0.25">
      <c r="A71" s="475"/>
      <c r="B71" s="481" t="s">
        <v>30</v>
      </c>
      <c r="C71" s="476"/>
      <c r="D71" s="476"/>
      <c r="E71" s="476"/>
      <c r="F71" s="476"/>
      <c r="G71" s="476"/>
      <c r="H71" s="476"/>
      <c r="I71" s="477"/>
    </row>
    <row r="72" spans="1:9" ht="13.8" x14ac:dyDescent="0.25">
      <c r="A72" s="475"/>
      <c r="B72" s="482" t="s">
        <v>829</v>
      </c>
      <c r="C72" s="483"/>
      <c r="D72" s="471">
        <v>0</v>
      </c>
      <c r="E72" s="471">
        <v>367160008</v>
      </c>
      <c r="F72" s="471">
        <v>0</v>
      </c>
      <c r="G72" s="471">
        <v>20539991</v>
      </c>
      <c r="H72" s="471"/>
      <c r="I72" s="471">
        <f>SUM(D72:H72)</f>
        <v>387699999</v>
      </c>
    </row>
    <row r="73" spans="1:9" ht="13.8" x14ac:dyDescent="0.3">
      <c r="A73" s="484"/>
      <c r="B73" s="485" t="s">
        <v>25</v>
      </c>
      <c r="C73" s="486"/>
      <c r="D73" s="487">
        <f>SUM(D72:D72)</f>
        <v>0</v>
      </c>
      <c r="E73" s="487">
        <f>SUM(E72:E72)</f>
        <v>367160008</v>
      </c>
      <c r="F73" s="487">
        <f>SUM(F72:F72)</f>
        <v>0</v>
      </c>
      <c r="G73" s="487">
        <f>SUM(G72:G72)</f>
        <v>20539991</v>
      </c>
      <c r="H73" s="487"/>
      <c r="I73" s="487">
        <f>SUM(I72:I72)</f>
        <v>387699999</v>
      </c>
    </row>
    <row r="74" spans="1:9" ht="13.8" x14ac:dyDescent="0.3">
      <c r="A74" s="467"/>
      <c r="B74" s="492"/>
      <c r="C74" s="476"/>
      <c r="D74" s="493"/>
      <c r="E74" s="493"/>
      <c r="F74" s="493"/>
      <c r="G74" s="493"/>
      <c r="H74" s="493"/>
      <c r="I74" s="493"/>
    </row>
    <row r="75" spans="1:9" ht="26.4" x14ac:dyDescent="0.25">
      <c r="A75" s="478">
        <v>12</v>
      </c>
      <c r="B75" s="479" t="s">
        <v>856</v>
      </c>
      <c r="C75" s="480" t="s">
        <v>857</v>
      </c>
      <c r="D75" s="476"/>
      <c r="E75" s="476"/>
      <c r="F75" s="476"/>
      <c r="G75" s="476"/>
      <c r="H75" s="476"/>
      <c r="I75" s="477"/>
    </row>
    <row r="76" spans="1:9" ht="13.8" x14ac:dyDescent="0.25">
      <c r="A76" s="475"/>
      <c r="B76" s="481" t="s">
        <v>30</v>
      </c>
      <c r="C76" s="476"/>
      <c r="D76" s="476"/>
      <c r="E76" s="476"/>
      <c r="F76" s="476"/>
      <c r="G76" s="476"/>
      <c r="H76" s="476"/>
      <c r="I76" s="477"/>
    </row>
    <row r="77" spans="1:9" ht="13.8" x14ac:dyDescent="0.25">
      <c r="A77" s="475"/>
      <c r="B77" s="482" t="s">
        <v>829</v>
      </c>
      <c r="C77" s="483"/>
      <c r="D77" s="471">
        <v>0</v>
      </c>
      <c r="E77" s="471">
        <v>365351631</v>
      </c>
      <c r="F77" s="471">
        <v>0</v>
      </c>
      <c r="G77" s="471">
        <v>22348368</v>
      </c>
      <c r="H77" s="471"/>
      <c r="I77" s="471">
        <f>SUM(D77:H77)</f>
        <v>387699999</v>
      </c>
    </row>
    <row r="78" spans="1:9" ht="13.8" x14ac:dyDescent="0.3">
      <c r="A78" s="484"/>
      <c r="B78" s="485" t="s">
        <v>25</v>
      </c>
      <c r="C78" s="486"/>
      <c r="D78" s="487">
        <f>SUM(D77:D77)</f>
        <v>0</v>
      </c>
      <c r="E78" s="487">
        <f>SUM(E77:E77)</f>
        <v>365351631</v>
      </c>
      <c r="F78" s="487">
        <f>SUM(F77:F77)</f>
        <v>0</v>
      </c>
      <c r="G78" s="487">
        <f>SUM(G77:G77)</f>
        <v>22348368</v>
      </c>
      <c r="H78" s="487">
        <f t="shared" ref="H78:I78" si="6">SUM(H77:H77)</f>
        <v>0</v>
      </c>
      <c r="I78" s="487">
        <f t="shared" si="6"/>
        <v>387699999</v>
      </c>
    </row>
    <row r="79" spans="1:9" ht="13.8" x14ac:dyDescent="0.3">
      <c r="A79" s="467"/>
      <c r="B79" s="469"/>
      <c r="C79" s="476"/>
      <c r="D79" s="493"/>
      <c r="E79" s="493"/>
      <c r="F79" s="493"/>
      <c r="G79" s="493"/>
      <c r="H79" s="493"/>
      <c r="I79" s="493"/>
    </row>
    <row r="80" spans="1:9" ht="27.75" customHeight="1" x14ac:dyDescent="0.25">
      <c r="A80" s="478">
        <v>13</v>
      </c>
      <c r="B80" s="479" t="s">
        <v>858</v>
      </c>
      <c r="C80" s="632" t="s">
        <v>859</v>
      </c>
      <c r="D80" s="632"/>
      <c r="E80" s="476"/>
      <c r="F80" s="476"/>
      <c r="G80" s="476"/>
      <c r="H80" s="476"/>
      <c r="I80" s="477"/>
    </row>
    <row r="81" spans="1:9" ht="13.8" x14ac:dyDescent="0.25">
      <c r="A81" s="475"/>
      <c r="B81" s="481" t="s">
        <v>30</v>
      </c>
      <c r="C81" s="476"/>
      <c r="D81" s="476"/>
      <c r="E81" s="476"/>
      <c r="F81" s="476"/>
      <c r="G81" s="476"/>
      <c r="H81" s="476"/>
      <c r="I81" s="477"/>
    </row>
    <row r="82" spans="1:9" ht="13.8" x14ac:dyDescent="0.25">
      <c r="A82" s="475"/>
      <c r="B82" s="482" t="s">
        <v>829</v>
      </c>
      <c r="C82" s="483"/>
      <c r="D82" s="471"/>
      <c r="E82" s="471"/>
      <c r="F82" s="471"/>
      <c r="G82" s="471">
        <v>47834297</v>
      </c>
      <c r="H82" s="471">
        <v>32164200</v>
      </c>
      <c r="I82" s="471">
        <f>SUM(G82:H82)</f>
        <v>79998497</v>
      </c>
    </row>
    <row r="83" spans="1:9" ht="13.8" x14ac:dyDescent="0.3">
      <c r="A83" s="484"/>
      <c r="B83" s="485" t="s">
        <v>25</v>
      </c>
      <c r="C83" s="486"/>
      <c r="D83" s="487"/>
      <c r="E83" s="487"/>
      <c r="F83" s="487"/>
      <c r="G83" s="487">
        <f>SUM(G82)</f>
        <v>47834297</v>
      </c>
      <c r="H83" s="487">
        <f>SUM(H82)</f>
        <v>32164200</v>
      </c>
      <c r="I83" s="487">
        <f>SUM(I82:I82)</f>
        <v>79998497</v>
      </c>
    </row>
    <row r="84" spans="1:9" ht="13.8" x14ac:dyDescent="0.25">
      <c r="A84" s="475"/>
      <c r="B84" s="476"/>
      <c r="C84" s="476"/>
      <c r="D84" s="476"/>
      <c r="E84" s="476"/>
      <c r="F84" s="476"/>
      <c r="G84" s="476"/>
      <c r="H84" s="476"/>
      <c r="I84" s="477"/>
    </row>
    <row r="85" spans="1:9" ht="15.6" x14ac:dyDescent="0.3">
      <c r="A85" s="510"/>
      <c r="B85" s="630" t="s">
        <v>860</v>
      </c>
      <c r="C85" s="630"/>
      <c r="D85" s="512">
        <f t="shared" ref="D85:I85" si="7">D14+D20+D26+D31+D38+D44+D51+D57+D63+D68+D73+D78+D83</f>
        <v>545975345</v>
      </c>
      <c r="E85" s="512">
        <f t="shared" si="7"/>
        <v>1453302442</v>
      </c>
      <c r="F85" s="512">
        <f t="shared" si="7"/>
        <v>435850042</v>
      </c>
      <c r="G85" s="512">
        <f t="shared" si="7"/>
        <v>299897622</v>
      </c>
      <c r="H85" s="512">
        <f t="shared" si="7"/>
        <v>32164200</v>
      </c>
      <c r="I85" s="512">
        <f t="shared" si="7"/>
        <v>2767189651</v>
      </c>
    </row>
    <row r="86" spans="1:9" ht="15.6" x14ac:dyDescent="0.3">
      <c r="A86" s="510"/>
      <c r="B86" s="511"/>
      <c r="C86" s="511"/>
      <c r="D86" s="512"/>
      <c r="E86" s="512"/>
      <c r="F86" s="512"/>
      <c r="G86" s="512"/>
      <c r="H86" s="512"/>
      <c r="I86" s="512"/>
    </row>
    <row r="87" spans="1:9" ht="15.6" x14ac:dyDescent="0.3">
      <c r="A87" s="629" t="s">
        <v>671</v>
      </c>
      <c r="B87" s="629"/>
      <c r="C87" s="629"/>
      <c r="D87" s="629"/>
      <c r="E87" s="629"/>
      <c r="F87" s="629"/>
      <c r="G87" s="629"/>
      <c r="H87" s="629"/>
      <c r="I87" s="629"/>
    </row>
    <row r="88" spans="1:9" ht="13.8" x14ac:dyDescent="0.3">
      <c r="A88" s="631" t="s">
        <v>208</v>
      </c>
      <c r="B88" s="631"/>
      <c r="C88" s="631"/>
      <c r="D88" s="631"/>
      <c r="E88" s="631"/>
      <c r="F88" s="631"/>
      <c r="G88" s="631"/>
      <c r="H88" s="631"/>
      <c r="I88" s="631"/>
    </row>
    <row r="89" spans="1:9" ht="13.8" x14ac:dyDescent="0.3">
      <c r="A89" s="475" t="s">
        <v>823</v>
      </c>
      <c r="B89" s="469" t="s">
        <v>824</v>
      </c>
      <c r="C89" s="476" t="s">
        <v>825</v>
      </c>
      <c r="D89" s="476" t="s">
        <v>826</v>
      </c>
      <c r="E89" s="476" t="s">
        <v>827</v>
      </c>
      <c r="F89" s="476" t="s">
        <v>828</v>
      </c>
      <c r="G89" s="476" t="s">
        <v>213</v>
      </c>
      <c r="H89" s="476" t="s">
        <v>214</v>
      </c>
      <c r="I89" s="477" t="s">
        <v>220</v>
      </c>
    </row>
    <row r="90" spans="1:9" x14ac:dyDescent="0.25">
      <c r="A90" s="467"/>
      <c r="B90" s="513"/>
      <c r="C90" s="467"/>
      <c r="D90" s="514"/>
      <c r="E90" s="514"/>
      <c r="F90" s="514"/>
      <c r="G90" s="514"/>
      <c r="H90" s="514"/>
      <c r="I90" s="471"/>
    </row>
    <row r="91" spans="1:9" ht="13.8" x14ac:dyDescent="0.3">
      <c r="A91" s="467"/>
      <c r="B91" s="492"/>
      <c r="C91" s="476"/>
      <c r="D91" s="493"/>
      <c r="E91" s="493"/>
      <c r="F91" s="493"/>
      <c r="G91" s="493"/>
      <c r="H91" s="493"/>
      <c r="I91" s="493"/>
    </row>
    <row r="92" spans="1:9" ht="27" customHeight="1" x14ac:dyDescent="0.3">
      <c r="A92" s="478">
        <v>1</v>
      </c>
      <c r="B92" s="479" t="s">
        <v>831</v>
      </c>
      <c r="C92" s="632" t="s">
        <v>832</v>
      </c>
      <c r="D92" s="632"/>
      <c r="E92" s="493"/>
      <c r="F92" s="493"/>
      <c r="G92" s="493"/>
      <c r="H92" s="493"/>
      <c r="I92" s="515"/>
    </row>
    <row r="93" spans="1:9" x14ac:dyDescent="0.25">
      <c r="A93" s="467"/>
      <c r="B93" s="481" t="s">
        <v>30</v>
      </c>
      <c r="C93" s="467"/>
      <c r="D93" s="471"/>
      <c r="E93" s="471"/>
      <c r="F93" s="471"/>
      <c r="G93" s="471"/>
      <c r="H93" s="471"/>
      <c r="I93" s="471"/>
    </row>
    <row r="94" spans="1:9" x14ac:dyDescent="0.25">
      <c r="A94" s="467"/>
      <c r="B94" s="482" t="s">
        <v>861</v>
      </c>
      <c r="C94" s="483" t="s">
        <v>864</v>
      </c>
      <c r="D94" s="471">
        <v>5781406</v>
      </c>
      <c r="E94" s="471">
        <v>120000</v>
      </c>
      <c r="F94" s="471">
        <v>0</v>
      </c>
      <c r="G94" s="471"/>
      <c r="H94" s="471"/>
      <c r="I94" s="471">
        <f t="shared" ref="I94:I99" si="8">SUM(D94:H94)</f>
        <v>5901406</v>
      </c>
    </row>
    <row r="95" spans="1:9" x14ac:dyDescent="0.25">
      <c r="A95" s="467"/>
      <c r="B95" s="482"/>
      <c r="C95" s="483" t="s">
        <v>865</v>
      </c>
      <c r="D95" s="471">
        <v>1045534</v>
      </c>
      <c r="E95" s="471">
        <v>46704</v>
      </c>
      <c r="F95" s="471">
        <v>0</v>
      </c>
      <c r="G95" s="471"/>
      <c r="H95" s="471"/>
      <c r="I95" s="471">
        <f t="shared" si="8"/>
        <v>1092238</v>
      </c>
    </row>
    <row r="96" spans="1:9" x14ac:dyDescent="0.25">
      <c r="A96" s="467"/>
      <c r="B96" s="482"/>
      <c r="C96" s="483" t="s">
        <v>862</v>
      </c>
      <c r="D96" s="471">
        <v>2829122</v>
      </c>
      <c r="E96" s="471">
        <v>690000</v>
      </c>
      <c r="F96" s="471">
        <v>821000</v>
      </c>
      <c r="G96" s="471">
        <v>361250</v>
      </c>
      <c r="H96" s="471"/>
      <c r="I96" s="471">
        <f t="shared" si="8"/>
        <v>4701372</v>
      </c>
    </row>
    <row r="97" spans="1:9" x14ac:dyDescent="0.25">
      <c r="A97" s="467"/>
      <c r="B97" s="482"/>
      <c r="C97" s="483" t="s">
        <v>866</v>
      </c>
      <c r="D97" s="471">
        <v>14580</v>
      </c>
      <c r="E97" s="471">
        <v>0</v>
      </c>
      <c r="F97" s="471">
        <v>0</v>
      </c>
      <c r="G97" s="471"/>
      <c r="H97" s="471"/>
      <c r="I97" s="471">
        <f t="shared" si="8"/>
        <v>14580</v>
      </c>
    </row>
    <row r="98" spans="1:9" x14ac:dyDescent="0.25">
      <c r="A98" s="467"/>
      <c r="B98" s="482"/>
      <c r="C98" s="483" t="s">
        <v>867</v>
      </c>
      <c r="D98" s="471">
        <v>0</v>
      </c>
      <c r="E98" s="471"/>
      <c r="F98" s="471">
        <v>0</v>
      </c>
      <c r="G98" s="471"/>
      <c r="H98" s="471"/>
      <c r="I98" s="471">
        <f t="shared" si="8"/>
        <v>0</v>
      </c>
    </row>
    <row r="99" spans="1:9" s="517" customFormat="1" x14ac:dyDescent="0.25">
      <c r="A99" s="467"/>
      <c r="B99" s="8"/>
      <c r="C99" s="483" t="s">
        <v>868</v>
      </c>
      <c r="D99" s="471">
        <v>0</v>
      </c>
      <c r="E99" s="471">
        <v>0</v>
      </c>
      <c r="G99" s="471">
        <v>858526</v>
      </c>
      <c r="H99" s="471"/>
      <c r="I99" s="471">
        <f t="shared" si="8"/>
        <v>858526</v>
      </c>
    </row>
    <row r="100" spans="1:9" s="517" customFormat="1" ht="13.8" x14ac:dyDescent="0.3">
      <c r="A100" s="490"/>
      <c r="B100" s="489" t="s">
        <v>25</v>
      </c>
      <c r="C100" s="518"/>
      <c r="D100" s="491">
        <f>SUM(D94:D99)</f>
        <v>9670642</v>
      </c>
      <c r="E100" s="491">
        <f>SUM(E94:E99)</f>
        <v>856704</v>
      </c>
      <c r="F100" s="491">
        <f>SUM(F94:F99)</f>
        <v>821000</v>
      </c>
      <c r="G100" s="491">
        <f>SUM(G94:G99)</f>
        <v>1219776</v>
      </c>
      <c r="H100" s="491"/>
      <c r="I100" s="491">
        <f>SUM(I94:I99)</f>
        <v>12568122</v>
      </c>
    </row>
    <row r="101" spans="1:9" ht="13.8" x14ac:dyDescent="0.3">
      <c r="A101" s="476"/>
      <c r="B101" s="492"/>
      <c r="C101" s="519"/>
      <c r="D101" s="493"/>
      <c r="E101" s="493"/>
      <c r="F101" s="493"/>
      <c r="G101" s="493"/>
      <c r="H101" s="493"/>
      <c r="I101" s="493"/>
    </row>
    <row r="102" spans="1:9" ht="27.75" customHeight="1" x14ac:dyDescent="0.3">
      <c r="A102" s="478">
        <v>2</v>
      </c>
      <c r="B102" s="479" t="s">
        <v>834</v>
      </c>
      <c r="C102" s="632" t="s">
        <v>835</v>
      </c>
      <c r="D102" s="632"/>
      <c r="E102" s="493"/>
      <c r="F102" s="493"/>
      <c r="G102" s="493"/>
      <c r="H102" s="493"/>
      <c r="I102" s="515"/>
    </row>
    <row r="103" spans="1:9" x14ac:dyDescent="0.25">
      <c r="A103" s="467"/>
      <c r="B103" s="481" t="s">
        <v>30</v>
      </c>
      <c r="C103" s="467"/>
      <c r="D103" s="471"/>
      <c r="E103" s="471"/>
      <c r="F103" s="471"/>
      <c r="G103" s="471"/>
      <c r="H103" s="471"/>
      <c r="I103" s="471"/>
    </row>
    <row r="104" spans="1:9" x14ac:dyDescent="0.25">
      <c r="A104" s="467"/>
      <c r="B104" s="482" t="s">
        <v>861</v>
      </c>
      <c r="C104" s="483" t="s">
        <v>864</v>
      </c>
      <c r="D104" s="471">
        <v>6268710</v>
      </c>
      <c r="E104" s="471">
        <v>180000</v>
      </c>
      <c r="F104" s="471">
        <v>0</v>
      </c>
      <c r="G104" s="471"/>
      <c r="H104" s="471"/>
      <c r="I104" s="471">
        <f>SUM(D104:H104)</f>
        <v>6448710</v>
      </c>
    </row>
    <row r="105" spans="1:9" x14ac:dyDescent="0.25">
      <c r="A105" s="467"/>
      <c r="B105" s="482"/>
      <c r="C105" s="483" t="s">
        <v>865</v>
      </c>
      <c r="D105" s="471">
        <v>1133857</v>
      </c>
      <c r="E105" s="471">
        <v>66972</v>
      </c>
      <c r="F105" s="471">
        <v>0</v>
      </c>
      <c r="G105" s="471"/>
      <c r="H105" s="471"/>
      <c r="I105" s="471">
        <f>SUM(D105:H105)</f>
        <v>1200829</v>
      </c>
    </row>
    <row r="106" spans="1:9" x14ac:dyDescent="0.25">
      <c r="A106" s="467"/>
      <c r="B106" s="482"/>
      <c r="C106" s="483" t="s">
        <v>862</v>
      </c>
      <c r="D106" s="471">
        <v>658546</v>
      </c>
      <c r="E106" s="471">
        <v>929400</v>
      </c>
      <c r="F106" s="471">
        <v>1317500</v>
      </c>
      <c r="G106" s="471">
        <v>1102650</v>
      </c>
      <c r="H106" s="471"/>
      <c r="I106" s="471">
        <f>SUM(D106:H106)</f>
        <v>4008096</v>
      </c>
    </row>
    <row r="107" spans="1:9" x14ac:dyDescent="0.25">
      <c r="A107" s="467"/>
      <c r="B107" s="482"/>
      <c r="C107" s="483" t="s">
        <v>866</v>
      </c>
      <c r="D107" s="471">
        <v>41880</v>
      </c>
      <c r="E107" s="471">
        <v>0</v>
      </c>
      <c r="F107" s="471">
        <v>0</v>
      </c>
      <c r="G107" s="471"/>
      <c r="H107" s="471"/>
      <c r="I107" s="471">
        <f>SUM(D107:H107)</f>
        <v>41880</v>
      </c>
    </row>
    <row r="108" spans="1:9" x14ac:dyDescent="0.25">
      <c r="A108" s="467"/>
      <c r="B108" s="482"/>
      <c r="C108" s="483" t="s">
        <v>867</v>
      </c>
      <c r="D108" s="471">
        <v>0</v>
      </c>
      <c r="E108" s="471">
        <v>0</v>
      </c>
      <c r="F108" s="471">
        <v>0</v>
      </c>
      <c r="G108" s="471"/>
      <c r="H108" s="471"/>
      <c r="I108" s="471">
        <f>SUM(D108:H108)</f>
        <v>0</v>
      </c>
    </row>
    <row r="109" spans="1:9" s="517" customFormat="1" ht="13.8" x14ac:dyDescent="0.3">
      <c r="A109" s="488"/>
      <c r="B109" s="489" t="s">
        <v>25</v>
      </c>
      <c r="C109" s="490"/>
      <c r="D109" s="491">
        <f>SUM(D104:D108)</f>
        <v>8102993</v>
      </c>
      <c r="E109" s="491">
        <f>SUM(E104:E108)</f>
        <v>1176372</v>
      </c>
      <c r="F109" s="491">
        <f>SUM(F104:F108)</f>
        <v>1317500</v>
      </c>
      <c r="G109" s="491">
        <f>SUM(G104:G108)</f>
        <v>1102650</v>
      </c>
      <c r="H109" s="491"/>
      <c r="I109" s="491">
        <f>SUM(I104:I108)</f>
        <v>11699515</v>
      </c>
    </row>
    <row r="110" spans="1:9" ht="13.8" x14ac:dyDescent="0.3">
      <c r="A110" s="476"/>
      <c r="B110" s="492"/>
      <c r="C110" s="519"/>
      <c r="D110" s="493"/>
      <c r="E110" s="493"/>
      <c r="F110" s="493"/>
      <c r="G110" s="493"/>
      <c r="H110" s="493"/>
      <c r="I110" s="493"/>
    </row>
    <row r="111" spans="1:9" ht="40.5" customHeight="1" x14ac:dyDescent="0.3">
      <c r="A111" s="478">
        <v>3</v>
      </c>
      <c r="B111" s="479" t="s">
        <v>836</v>
      </c>
      <c r="C111" s="632" t="s">
        <v>837</v>
      </c>
      <c r="D111" s="632"/>
      <c r="E111" s="493"/>
      <c r="F111" s="493"/>
      <c r="G111" s="493"/>
      <c r="H111" s="493"/>
      <c r="I111" s="515"/>
    </row>
    <row r="112" spans="1:9" x14ac:dyDescent="0.25">
      <c r="A112" s="467"/>
      <c r="B112" s="481" t="s">
        <v>30</v>
      </c>
      <c r="C112" s="467"/>
      <c r="D112" s="471"/>
      <c r="E112" s="471"/>
      <c r="F112" s="471"/>
      <c r="G112" s="471"/>
      <c r="H112" s="471"/>
      <c r="I112" s="471"/>
    </row>
    <row r="113" spans="1:9" x14ac:dyDescent="0.25">
      <c r="A113" s="467"/>
      <c r="B113" s="482" t="s">
        <v>861</v>
      </c>
      <c r="C113" s="483" t="s">
        <v>864</v>
      </c>
      <c r="D113" s="471">
        <v>10836404</v>
      </c>
      <c r="E113" s="471">
        <v>592500</v>
      </c>
      <c r="F113" s="471"/>
      <c r="G113" s="471"/>
      <c r="H113" s="471"/>
      <c r="I113" s="471">
        <f>SUM(D113:H113)</f>
        <v>11428904</v>
      </c>
    </row>
    <row r="114" spans="1:9" x14ac:dyDescent="0.25">
      <c r="A114" s="467"/>
      <c r="B114" s="482"/>
      <c r="C114" s="483" t="s">
        <v>865</v>
      </c>
      <c r="D114" s="471">
        <v>1982269</v>
      </c>
      <c r="E114" s="471">
        <v>78634</v>
      </c>
      <c r="F114" s="471"/>
      <c r="G114" s="471"/>
      <c r="H114" s="471"/>
      <c r="I114" s="471">
        <f>SUM(D114:H114)</f>
        <v>2060903</v>
      </c>
    </row>
    <row r="115" spans="1:9" x14ac:dyDescent="0.25">
      <c r="A115" s="467"/>
      <c r="B115" s="482"/>
      <c r="C115" s="483" t="s">
        <v>862</v>
      </c>
      <c r="D115" s="471">
        <v>6020051</v>
      </c>
      <c r="E115" s="471">
        <v>1464600</v>
      </c>
      <c r="F115" s="471">
        <v>1809050</v>
      </c>
      <c r="G115" s="471">
        <v>725610</v>
      </c>
      <c r="H115" s="471"/>
      <c r="I115" s="471">
        <f>SUM(D115:H115)</f>
        <v>10019311</v>
      </c>
    </row>
    <row r="116" spans="1:9" x14ac:dyDescent="0.25">
      <c r="A116" s="467"/>
      <c r="B116" s="482"/>
      <c r="C116" s="483" t="s">
        <v>866</v>
      </c>
      <c r="D116" s="471">
        <v>0</v>
      </c>
      <c r="E116" s="471">
        <v>323785</v>
      </c>
      <c r="F116" s="471"/>
      <c r="G116" s="471"/>
      <c r="H116" s="471"/>
      <c r="I116" s="471">
        <f>SUM(D116:H116)</f>
        <v>323785</v>
      </c>
    </row>
    <row r="117" spans="1:9" ht="13.8" x14ac:dyDescent="0.3">
      <c r="A117" s="488"/>
      <c r="B117" s="489" t="s">
        <v>25</v>
      </c>
      <c r="C117" s="490"/>
      <c r="D117" s="491">
        <f>SUM(D113:D116)</f>
        <v>18838724</v>
      </c>
      <c r="E117" s="491">
        <f>SUM(E113:E116)</f>
        <v>2459519</v>
      </c>
      <c r="F117" s="491">
        <f>SUM(F113:F116)</f>
        <v>1809050</v>
      </c>
      <c r="G117" s="491">
        <f>SUM(G113:G116)</f>
        <v>725610</v>
      </c>
      <c r="H117" s="491"/>
      <c r="I117" s="491">
        <f>SUM(I113:I116)</f>
        <v>23832903</v>
      </c>
    </row>
    <row r="118" spans="1:9" s="323" customFormat="1" ht="13.8" x14ac:dyDescent="0.3">
      <c r="A118" s="467"/>
      <c r="B118" s="492"/>
      <c r="C118" s="476"/>
      <c r="D118" s="493"/>
      <c r="E118" s="493"/>
      <c r="F118" s="493"/>
      <c r="G118" s="493"/>
      <c r="H118" s="493"/>
      <c r="I118" s="493"/>
    </row>
    <row r="119" spans="1:9" s="323" customFormat="1" ht="26.4" x14ac:dyDescent="0.3">
      <c r="A119" s="478">
        <v>4</v>
      </c>
      <c r="B119" s="479" t="s">
        <v>838</v>
      </c>
      <c r="C119" s="480" t="s">
        <v>839</v>
      </c>
      <c r="D119" s="493"/>
      <c r="E119" s="493"/>
      <c r="F119" s="493"/>
      <c r="G119" s="493"/>
      <c r="H119" s="493"/>
      <c r="I119" s="515"/>
    </row>
    <row r="120" spans="1:9" s="323" customFormat="1" x14ac:dyDescent="0.25">
      <c r="A120" s="467"/>
      <c r="B120" s="481" t="s">
        <v>30</v>
      </c>
      <c r="C120" s="467"/>
      <c r="D120" s="471"/>
      <c r="E120" s="471"/>
      <c r="F120" s="471"/>
      <c r="G120" s="471"/>
      <c r="H120" s="471"/>
      <c r="I120" s="471"/>
    </row>
    <row r="121" spans="1:9" s="323" customFormat="1" ht="26.25" customHeight="1" x14ac:dyDescent="0.25">
      <c r="A121" s="467"/>
      <c r="B121" s="482" t="s">
        <v>861</v>
      </c>
      <c r="C121" s="516" t="s">
        <v>863</v>
      </c>
      <c r="D121" s="471">
        <v>0</v>
      </c>
      <c r="E121" s="471">
        <v>0</v>
      </c>
      <c r="F121" s="8">
        <v>0</v>
      </c>
      <c r="G121" s="471">
        <v>238735365</v>
      </c>
      <c r="H121" s="471"/>
      <c r="I121" s="471">
        <f>SUM(D121:H121)</f>
        <v>238735365</v>
      </c>
    </row>
    <row r="122" spans="1:9" s="323" customFormat="1" x14ac:dyDescent="0.25">
      <c r="A122" s="467"/>
      <c r="B122" s="482"/>
      <c r="C122" s="483" t="s">
        <v>862</v>
      </c>
      <c r="D122" s="471">
        <v>490000</v>
      </c>
      <c r="E122" s="471">
        <v>0</v>
      </c>
      <c r="F122" s="8">
        <v>0</v>
      </c>
      <c r="G122" s="471">
        <v>3844837</v>
      </c>
      <c r="H122" s="471"/>
      <c r="I122" s="471">
        <f>SUM(D122:H122)</f>
        <v>4334837</v>
      </c>
    </row>
    <row r="123" spans="1:9" s="323" customFormat="1" x14ac:dyDescent="0.25">
      <c r="A123" s="467"/>
      <c r="B123" s="482"/>
      <c r="C123" s="483" t="s">
        <v>867</v>
      </c>
      <c r="D123" s="8"/>
      <c r="E123" s="8"/>
      <c r="F123" s="8">
        <v>0</v>
      </c>
      <c r="G123" s="520">
        <v>9868106</v>
      </c>
      <c r="H123" s="471"/>
      <c r="I123" s="471">
        <f>SUM(D123:H123)</f>
        <v>9868106</v>
      </c>
    </row>
    <row r="124" spans="1:9" ht="13.8" x14ac:dyDescent="0.3">
      <c r="A124" s="484"/>
      <c r="B124" s="485" t="s">
        <v>25</v>
      </c>
      <c r="C124" s="486"/>
      <c r="D124" s="487">
        <f>SUM(D121:D123)</f>
        <v>490000</v>
      </c>
      <c r="E124" s="487">
        <f t="shared" ref="E124:G124" si="9">SUM(E121:E123)</f>
        <v>0</v>
      </c>
      <c r="F124" s="487">
        <f t="shared" si="9"/>
        <v>0</v>
      </c>
      <c r="G124" s="487">
        <f t="shared" si="9"/>
        <v>252448308</v>
      </c>
      <c r="H124" s="487"/>
      <c r="I124" s="487">
        <f>SUM(I121:I123)</f>
        <v>252938308</v>
      </c>
    </row>
    <row r="125" spans="1:9" ht="13.8" x14ac:dyDescent="0.3">
      <c r="A125" s="467"/>
      <c r="B125" s="492"/>
      <c r="C125" s="476"/>
      <c r="D125" s="493"/>
      <c r="E125" s="493"/>
      <c r="F125" s="493"/>
      <c r="G125" s="493"/>
      <c r="H125" s="493"/>
      <c r="I125" s="493"/>
    </row>
    <row r="126" spans="1:9" ht="13.8" x14ac:dyDescent="0.25">
      <c r="A126" s="478">
        <v>5</v>
      </c>
      <c r="B126" s="479" t="s">
        <v>840</v>
      </c>
      <c r="C126" s="480" t="s">
        <v>841</v>
      </c>
      <c r="D126" s="476"/>
      <c r="E126" s="476"/>
      <c r="F126" s="476"/>
      <c r="G126" s="476"/>
      <c r="H126" s="476"/>
      <c r="I126" s="477"/>
    </row>
    <row r="127" spans="1:9" ht="13.8" x14ac:dyDescent="0.25">
      <c r="A127" s="475"/>
      <c r="B127" s="481" t="s">
        <v>30</v>
      </c>
      <c r="C127" s="476"/>
      <c r="D127" s="476"/>
      <c r="E127" s="476"/>
      <c r="F127" s="476"/>
      <c r="G127" s="476"/>
      <c r="H127" s="476"/>
      <c r="I127" s="477"/>
    </row>
    <row r="128" spans="1:9" x14ac:dyDescent="0.25">
      <c r="A128" s="467"/>
      <c r="B128" s="482" t="s">
        <v>869</v>
      </c>
      <c r="C128" s="483" t="s">
        <v>862</v>
      </c>
      <c r="D128" s="471">
        <v>896750</v>
      </c>
      <c r="E128" s="471">
        <v>100000</v>
      </c>
      <c r="F128" s="471">
        <v>2167500</v>
      </c>
      <c r="G128" s="471">
        <v>6350</v>
      </c>
      <c r="H128" s="471"/>
      <c r="I128" s="471">
        <f>SUM(D128:H128)</f>
        <v>3170600</v>
      </c>
    </row>
    <row r="129" spans="1:14" ht="26.4" x14ac:dyDescent="0.25">
      <c r="A129" s="478"/>
      <c r="B129" s="479"/>
      <c r="C129" s="516" t="s">
        <v>863</v>
      </c>
      <c r="D129" s="471">
        <v>38845071</v>
      </c>
      <c r="E129" s="471">
        <v>1529080</v>
      </c>
      <c r="F129" s="471">
        <v>106387549</v>
      </c>
      <c r="G129" s="471"/>
      <c r="H129" s="471"/>
      <c r="I129" s="471">
        <f>SUM(D129:H129)</f>
        <v>146761700</v>
      </c>
    </row>
    <row r="130" spans="1:14" ht="13.8" x14ac:dyDescent="0.3">
      <c r="A130" s="496"/>
      <c r="B130" s="497" t="s">
        <v>25</v>
      </c>
      <c r="C130" s="518"/>
      <c r="D130" s="491">
        <f>SUM(D128:D129)</f>
        <v>39741821</v>
      </c>
      <c r="E130" s="491">
        <f>SUM(E128:E129)</f>
        <v>1629080</v>
      </c>
      <c r="F130" s="491">
        <f>SUM(F128:F129)</f>
        <v>108555049</v>
      </c>
      <c r="G130" s="491">
        <f>SUM(G128:G129)</f>
        <v>6350</v>
      </c>
      <c r="H130" s="491"/>
      <c r="I130" s="491">
        <f>SUM(I128:I129)</f>
        <v>149932300</v>
      </c>
    </row>
    <row r="131" spans="1:14" ht="13.8" x14ac:dyDescent="0.3">
      <c r="B131" s="498"/>
      <c r="C131" s="519"/>
      <c r="D131" s="493"/>
      <c r="E131" s="493"/>
      <c r="F131" s="493"/>
      <c r="G131" s="493"/>
      <c r="H131" s="493"/>
      <c r="I131" s="493"/>
    </row>
    <row r="132" spans="1:14" ht="26.4" x14ac:dyDescent="0.3">
      <c r="A132" s="478">
        <v>6</v>
      </c>
      <c r="B132" s="479" t="s">
        <v>843</v>
      </c>
      <c r="C132" s="480" t="s">
        <v>844</v>
      </c>
      <c r="D132" s="493"/>
      <c r="E132" s="493"/>
      <c r="F132" s="493"/>
      <c r="G132" s="493"/>
      <c r="H132" s="493"/>
      <c r="I132" s="515"/>
      <c r="J132" s="493"/>
      <c r="K132" s="493"/>
      <c r="L132" s="493"/>
      <c r="M132" s="493"/>
      <c r="N132" s="515"/>
    </row>
    <row r="133" spans="1:14" x14ac:dyDescent="0.25">
      <c r="A133" s="467"/>
      <c r="B133" s="481" t="s">
        <v>30</v>
      </c>
      <c r="C133" s="467"/>
      <c r="D133" s="471"/>
      <c r="E133" s="471"/>
      <c r="F133" s="471"/>
      <c r="G133" s="471"/>
      <c r="H133" s="471"/>
      <c r="I133" s="471"/>
      <c r="J133" s="471"/>
      <c r="K133" s="471"/>
      <c r="L133" s="471"/>
      <c r="M133" s="471"/>
      <c r="N133" s="471"/>
    </row>
    <row r="134" spans="1:14" x14ac:dyDescent="0.25">
      <c r="A134" s="467"/>
      <c r="B134" s="482" t="s">
        <v>861</v>
      </c>
      <c r="C134" s="483" t="s">
        <v>862</v>
      </c>
      <c r="D134" s="471">
        <v>254840</v>
      </c>
      <c r="E134" s="471">
        <v>1600000</v>
      </c>
      <c r="F134" s="471"/>
      <c r="G134" s="471">
        <v>2493600</v>
      </c>
      <c r="H134" s="471"/>
      <c r="I134" s="471">
        <f>SUM(D134:H134)</f>
        <v>4348440</v>
      </c>
    </row>
    <row r="135" spans="1:14" ht="26.4" x14ac:dyDescent="0.25">
      <c r="A135" s="467"/>
      <c r="B135" s="482"/>
      <c r="C135" s="516" t="s">
        <v>863</v>
      </c>
      <c r="D135" s="471">
        <v>25127723</v>
      </c>
      <c r="E135" s="471">
        <f>67669517-4229438</f>
        <v>63440079</v>
      </c>
      <c r="F135" s="471">
        <f>88584481+176785317+16919249+962134+4229438</f>
        <v>287480619</v>
      </c>
      <c r="G135" s="471">
        <f>20442572+40796611+8421825+16297132+18834938+38098350</f>
        <v>142891428</v>
      </c>
      <c r="H135" s="471"/>
      <c r="I135" s="471">
        <f>SUM(D135:H135)</f>
        <v>518939849</v>
      </c>
    </row>
    <row r="136" spans="1:14" ht="13.8" x14ac:dyDescent="0.3">
      <c r="A136" s="490"/>
      <c r="B136" s="489" t="s">
        <v>25</v>
      </c>
      <c r="C136" s="518"/>
      <c r="D136" s="491">
        <f>SUM(D134:D135)</f>
        <v>25382563</v>
      </c>
      <c r="E136" s="491">
        <f>SUM(E134:E135)</f>
        <v>65040079</v>
      </c>
      <c r="F136" s="491">
        <f>SUM(F134:F135)</f>
        <v>287480619</v>
      </c>
      <c r="G136" s="491">
        <f>SUM(G134:G135)</f>
        <v>145385028</v>
      </c>
      <c r="H136" s="491"/>
      <c r="I136" s="491">
        <f>SUM(I134:I135)</f>
        <v>523288289</v>
      </c>
    </row>
    <row r="137" spans="1:14" ht="13.8" x14ac:dyDescent="0.3">
      <c r="B137" s="498"/>
      <c r="C137" s="476"/>
      <c r="D137" s="476"/>
      <c r="E137" s="476"/>
      <c r="F137" s="476"/>
      <c r="G137" s="476"/>
      <c r="H137" s="476"/>
      <c r="I137" s="477"/>
    </row>
    <row r="138" spans="1:14" ht="27.75" customHeight="1" x14ac:dyDescent="0.25">
      <c r="A138" s="478">
        <v>7</v>
      </c>
      <c r="B138" s="501" t="s">
        <v>845</v>
      </c>
      <c r="C138" s="632" t="s">
        <v>846</v>
      </c>
      <c r="D138" s="632"/>
      <c r="E138" s="476"/>
      <c r="F138" s="476"/>
      <c r="G138" s="476"/>
      <c r="H138" s="476"/>
      <c r="I138" s="477"/>
      <c r="K138" s="476"/>
      <c r="L138" s="476"/>
      <c r="M138" s="476"/>
      <c r="N138" s="477"/>
    </row>
    <row r="139" spans="1:14" ht="13.8" x14ac:dyDescent="0.25">
      <c r="A139" s="502"/>
      <c r="B139" s="504" t="s">
        <v>30</v>
      </c>
      <c r="C139" s="480"/>
      <c r="E139" s="476"/>
      <c r="F139" s="476"/>
      <c r="G139" s="476"/>
      <c r="H139" s="476"/>
      <c r="I139" s="477"/>
      <c r="K139" s="476"/>
      <c r="L139" s="476"/>
      <c r="M139" s="476"/>
      <c r="N139" s="477"/>
    </row>
    <row r="140" spans="1:14" x14ac:dyDescent="0.25">
      <c r="B140" s="482" t="s">
        <v>869</v>
      </c>
      <c r="C140" s="483" t="s">
        <v>862</v>
      </c>
      <c r="D140" s="471">
        <v>1127046</v>
      </c>
      <c r="E140" s="471">
        <v>887350</v>
      </c>
      <c r="F140" s="471">
        <v>75000</v>
      </c>
      <c r="G140" s="471">
        <f>2514600+406350</f>
        <v>2920950</v>
      </c>
      <c r="H140" s="471"/>
      <c r="I140" s="471">
        <f>SUM(D140:H140)</f>
        <v>5010346</v>
      </c>
    </row>
    <row r="141" spans="1:14" ht="26.4" x14ac:dyDescent="0.25">
      <c r="B141" s="479"/>
      <c r="C141" s="516" t="s">
        <v>863</v>
      </c>
      <c r="D141" s="471">
        <v>14356260</v>
      </c>
      <c r="E141" s="471">
        <v>46532450</v>
      </c>
      <c r="F141" s="471">
        <f>120022929+28642574</f>
        <v>148665503</v>
      </c>
      <c r="G141" s="471">
        <v>60920634</v>
      </c>
      <c r="H141" s="471"/>
      <c r="I141" s="471">
        <f>SUM(D141:H141)</f>
        <v>270474847</v>
      </c>
    </row>
    <row r="142" spans="1:14" x14ac:dyDescent="0.25">
      <c r="B142" s="479"/>
      <c r="C142" s="516" t="s">
        <v>870</v>
      </c>
      <c r="D142" s="471"/>
      <c r="E142" s="471">
        <v>15737360</v>
      </c>
      <c r="F142" s="471"/>
      <c r="G142" s="471"/>
      <c r="H142" s="471"/>
      <c r="I142" s="471">
        <f t="shared" ref="I142:I143" si="10">SUM(D142:G142)</f>
        <v>15737360</v>
      </c>
    </row>
    <row r="143" spans="1:14" ht="12.75" customHeight="1" x14ac:dyDescent="0.25">
      <c r="B143" s="505"/>
      <c r="C143" s="483" t="s">
        <v>867</v>
      </c>
      <c r="D143" s="471">
        <v>0</v>
      </c>
      <c r="F143" s="471"/>
      <c r="G143" s="471"/>
      <c r="H143" s="471"/>
      <c r="I143" s="471">
        <f t="shared" si="10"/>
        <v>0</v>
      </c>
    </row>
    <row r="144" spans="1:14" s="517" customFormat="1" ht="13.8" x14ac:dyDescent="0.3">
      <c r="A144" s="521"/>
      <c r="B144" s="497" t="s">
        <v>25</v>
      </c>
      <c r="C144" s="518"/>
      <c r="D144" s="491">
        <f>SUM(D140:D143)</f>
        <v>15483306</v>
      </c>
      <c r="E144" s="491">
        <f>SUM(E140:E143)</f>
        <v>63157160</v>
      </c>
      <c r="F144" s="491">
        <f>SUM(F140:F143)</f>
        <v>148740503</v>
      </c>
      <c r="G144" s="491">
        <f>SUM(G140:G143)</f>
        <v>63841584</v>
      </c>
      <c r="H144" s="491"/>
      <c r="I144" s="491">
        <f>SUM(I140:I143)</f>
        <v>291222553</v>
      </c>
    </row>
    <row r="145" spans="1:14" s="517" customFormat="1" ht="13.8" x14ac:dyDescent="0.3">
      <c r="A145" s="476"/>
      <c r="B145" s="492"/>
      <c r="C145" s="519"/>
      <c r="D145" s="493"/>
      <c r="E145" s="493"/>
      <c r="F145" s="493"/>
      <c r="G145" s="493"/>
      <c r="H145" s="493"/>
      <c r="I145" s="493"/>
    </row>
    <row r="146" spans="1:14" s="517" customFormat="1" ht="13.8" x14ac:dyDescent="0.25">
      <c r="A146" s="467">
        <v>8</v>
      </c>
      <c r="B146" s="479" t="s">
        <v>847</v>
      </c>
      <c r="C146" s="480" t="s">
        <v>848</v>
      </c>
      <c r="D146" s="8"/>
      <c r="E146" s="476"/>
      <c r="F146" s="476"/>
      <c r="G146" s="476"/>
      <c r="H146" s="476"/>
      <c r="I146" s="477"/>
    </row>
    <row r="147" spans="1:14" s="517" customFormat="1" ht="13.8" x14ac:dyDescent="0.25">
      <c r="A147" s="467"/>
      <c r="B147" s="504" t="s">
        <v>30</v>
      </c>
      <c r="C147" s="480"/>
      <c r="D147" s="8"/>
      <c r="E147" s="476"/>
      <c r="F147" s="476"/>
      <c r="G147" s="476"/>
      <c r="H147" s="476"/>
      <c r="I147" s="477"/>
    </row>
    <row r="148" spans="1:14" s="517" customFormat="1" x14ac:dyDescent="0.25">
      <c r="A148" s="467"/>
      <c r="B148" s="482" t="s">
        <v>869</v>
      </c>
      <c r="C148" s="483" t="s">
        <v>864</v>
      </c>
      <c r="D148" s="471">
        <v>0</v>
      </c>
      <c r="E148" s="471">
        <v>0</v>
      </c>
      <c r="F148" s="471"/>
      <c r="G148" s="471">
        <v>2845167</v>
      </c>
      <c r="H148" s="471"/>
      <c r="I148" s="471">
        <f>SUM(D148:H148)</f>
        <v>2845167</v>
      </c>
    </row>
    <row r="149" spans="1:14" s="517" customFormat="1" ht="13.8" x14ac:dyDescent="0.3">
      <c r="A149" s="467"/>
      <c r="B149" s="492"/>
      <c r="C149" s="483" t="s">
        <v>865</v>
      </c>
      <c r="D149" s="471">
        <v>0</v>
      </c>
      <c r="E149" s="471">
        <v>0</v>
      </c>
      <c r="F149" s="471"/>
      <c r="G149" s="471">
        <v>554814</v>
      </c>
      <c r="H149" s="471"/>
      <c r="I149" s="471">
        <f>SUM(D149:H149)</f>
        <v>554814</v>
      </c>
    </row>
    <row r="150" spans="1:14" s="517" customFormat="1" ht="13.8" x14ac:dyDescent="0.3">
      <c r="A150" s="467"/>
      <c r="B150" s="492"/>
      <c r="C150" s="483" t="s">
        <v>862</v>
      </c>
      <c r="D150" s="471">
        <v>0</v>
      </c>
      <c r="E150" s="471">
        <v>0</v>
      </c>
      <c r="F150" s="471"/>
      <c r="G150" s="471">
        <v>2537607</v>
      </c>
      <c r="H150" s="471"/>
      <c r="I150" s="471">
        <f>SUM(D150:H150)</f>
        <v>2537607</v>
      </c>
    </row>
    <row r="151" spans="1:14" s="517" customFormat="1" ht="26.4" x14ac:dyDescent="0.3">
      <c r="A151" s="467"/>
      <c r="B151" s="492"/>
      <c r="C151" s="516" t="s">
        <v>863</v>
      </c>
      <c r="D151" s="471">
        <v>8576498</v>
      </c>
      <c r="E151" s="471">
        <v>0</v>
      </c>
      <c r="F151" s="471">
        <v>8286500</v>
      </c>
      <c r="G151" s="471">
        <v>109275893</v>
      </c>
      <c r="H151" s="471"/>
      <c r="I151" s="471">
        <f>SUM(D151:H151)</f>
        <v>126138891</v>
      </c>
    </row>
    <row r="152" spans="1:14" s="517" customFormat="1" x14ac:dyDescent="0.25">
      <c r="A152" s="467"/>
      <c r="B152" s="505"/>
      <c r="C152" s="483" t="s">
        <v>867</v>
      </c>
      <c r="D152" s="471">
        <v>0</v>
      </c>
      <c r="E152" s="471"/>
      <c r="F152" s="471"/>
      <c r="G152" s="471">
        <v>5000000</v>
      </c>
      <c r="H152" s="471"/>
      <c r="I152" s="471">
        <f>SUM(D152:H152)</f>
        <v>5000000</v>
      </c>
    </row>
    <row r="153" spans="1:14" s="517" customFormat="1" ht="13.8" x14ac:dyDescent="0.3">
      <c r="A153" s="488"/>
      <c r="B153" s="497" t="s">
        <v>25</v>
      </c>
      <c r="C153" s="518"/>
      <c r="D153" s="491">
        <f>SUM(D148:D152)</f>
        <v>8576498</v>
      </c>
      <c r="E153" s="491">
        <f>SUM(E148:E152)</f>
        <v>0</v>
      </c>
      <c r="F153" s="491">
        <f>SUM(F148:F152)</f>
        <v>8286500</v>
      </c>
      <c r="G153" s="491">
        <f>SUM(G148:G152)</f>
        <v>120213481</v>
      </c>
      <c r="H153" s="491"/>
      <c r="I153" s="491">
        <f>SUM(I148:I152)</f>
        <v>137076479</v>
      </c>
    </row>
    <row r="154" spans="1:14" s="517" customFormat="1" ht="13.8" x14ac:dyDescent="0.3">
      <c r="A154" s="467"/>
      <c r="B154" s="492"/>
      <c r="C154" s="519"/>
      <c r="D154" s="493"/>
      <c r="E154" s="493"/>
      <c r="F154" s="493"/>
      <c r="G154" s="493"/>
      <c r="H154" s="493"/>
      <c r="I154" s="493"/>
    </row>
    <row r="155" spans="1:14" s="517" customFormat="1" ht="26.4" x14ac:dyDescent="0.3">
      <c r="A155" s="478">
        <v>9</v>
      </c>
      <c r="B155" s="479" t="s">
        <v>849</v>
      </c>
      <c r="C155" s="480" t="s">
        <v>850</v>
      </c>
      <c r="D155" s="493"/>
      <c r="E155" s="493"/>
      <c r="F155" s="493"/>
      <c r="G155" s="493"/>
      <c r="H155" s="493"/>
      <c r="I155" s="515"/>
    </row>
    <row r="156" spans="1:14" s="517" customFormat="1" x14ac:dyDescent="0.25">
      <c r="A156" s="467"/>
      <c r="B156" s="481" t="s">
        <v>30</v>
      </c>
      <c r="C156" s="467"/>
      <c r="D156" s="471"/>
      <c r="E156" s="471"/>
      <c r="F156" s="471"/>
      <c r="G156" s="471"/>
      <c r="H156" s="471"/>
      <c r="I156" s="471"/>
    </row>
    <row r="157" spans="1:14" s="517" customFormat="1" x14ac:dyDescent="0.25">
      <c r="A157" s="467"/>
      <c r="B157" s="482" t="s">
        <v>861</v>
      </c>
      <c r="C157" s="483" t="s">
        <v>862</v>
      </c>
      <c r="D157" s="471">
        <v>0</v>
      </c>
      <c r="E157" s="471"/>
      <c r="F157" s="471">
        <v>5424688</v>
      </c>
      <c r="G157" s="471"/>
      <c r="H157" s="471"/>
      <c r="I157" s="471">
        <f>SUM(D157:F157)</f>
        <v>5424688</v>
      </c>
    </row>
    <row r="158" spans="1:14" s="517" customFormat="1" ht="26.4" x14ac:dyDescent="0.25">
      <c r="A158" s="467"/>
      <c r="B158" s="482"/>
      <c r="C158" s="522" t="s">
        <v>863</v>
      </c>
      <c r="D158" s="471">
        <v>0</v>
      </c>
      <c r="E158" s="471"/>
      <c r="F158" s="471">
        <v>116108000</v>
      </c>
      <c r="G158" s="471"/>
      <c r="H158" s="471"/>
      <c r="I158" s="471">
        <f>SUM(D158:F158)</f>
        <v>116108000</v>
      </c>
    </row>
    <row r="159" spans="1:14" s="517" customFormat="1" ht="13.8" x14ac:dyDescent="0.3">
      <c r="A159" s="484"/>
      <c r="B159" s="485" t="s">
        <v>25</v>
      </c>
      <c r="C159" s="486"/>
      <c r="D159" s="487">
        <f>SUM(D157:D158)</f>
        <v>0</v>
      </c>
      <c r="E159" s="487">
        <f>SUM(E157:E158)</f>
        <v>0</v>
      </c>
      <c r="F159" s="487">
        <f>SUM(F157:F158)</f>
        <v>121532688</v>
      </c>
      <c r="G159" s="487"/>
      <c r="H159" s="487"/>
      <c r="I159" s="487">
        <f>SUM(I157:I158)</f>
        <v>121532688</v>
      </c>
    </row>
    <row r="160" spans="1:14" s="517" customFormat="1" ht="13.8" x14ac:dyDescent="0.3">
      <c r="A160" s="467"/>
      <c r="B160" s="492"/>
      <c r="C160" s="476"/>
      <c r="D160" s="493"/>
      <c r="E160" s="493"/>
      <c r="F160" s="493"/>
      <c r="G160" s="493"/>
      <c r="H160" s="493"/>
      <c r="I160" s="493"/>
      <c r="J160" s="493"/>
      <c r="K160" s="493"/>
      <c r="L160" s="493"/>
      <c r="M160" s="493"/>
      <c r="N160" s="493"/>
    </row>
    <row r="161" spans="1:14" s="517" customFormat="1" ht="26.4" x14ac:dyDescent="0.3">
      <c r="A161" s="478">
        <v>10</v>
      </c>
      <c r="B161" s="479" t="s">
        <v>852</v>
      </c>
      <c r="C161" s="480" t="s">
        <v>853</v>
      </c>
      <c r="D161" s="493"/>
      <c r="E161" s="493"/>
      <c r="F161" s="493"/>
      <c r="G161" s="493"/>
      <c r="H161" s="493"/>
      <c r="I161" s="515"/>
      <c r="J161" s="493"/>
      <c r="K161" s="493"/>
      <c r="L161" s="493"/>
      <c r="M161" s="493"/>
      <c r="N161" s="515"/>
    </row>
    <row r="162" spans="1:14" s="517" customFormat="1" x14ac:dyDescent="0.25">
      <c r="A162" s="467"/>
      <c r="B162" s="481" t="s">
        <v>30</v>
      </c>
      <c r="C162" s="8"/>
      <c r="D162" s="8"/>
      <c r="E162" s="8"/>
      <c r="F162" s="8"/>
      <c r="G162" s="8"/>
      <c r="H162" s="8"/>
      <c r="I162" s="8"/>
      <c r="J162" s="8"/>
      <c r="K162" s="8"/>
      <c r="L162" s="8"/>
      <c r="M162" s="8"/>
      <c r="N162" s="8"/>
    </row>
    <row r="163" spans="1:14" s="517" customFormat="1" x14ac:dyDescent="0.25">
      <c r="A163" s="467"/>
      <c r="B163" s="482" t="s">
        <v>861</v>
      </c>
      <c r="C163" s="467" t="s">
        <v>862</v>
      </c>
      <c r="D163" s="471">
        <v>0</v>
      </c>
      <c r="E163" s="471">
        <v>0</v>
      </c>
      <c r="F163" s="471">
        <v>3835400</v>
      </c>
      <c r="G163" s="471">
        <v>17898600</v>
      </c>
      <c r="H163" s="471"/>
      <c r="I163" s="471">
        <f>SUM(D163:G163)</f>
        <v>21734000</v>
      </c>
    </row>
    <row r="164" spans="1:14" s="517" customFormat="1" ht="26.4" x14ac:dyDescent="0.25">
      <c r="A164" s="467"/>
      <c r="B164" s="482"/>
      <c r="C164" s="516" t="s">
        <v>863</v>
      </c>
      <c r="D164" s="471">
        <v>0</v>
      </c>
      <c r="E164" s="471"/>
      <c r="F164" s="471">
        <v>0</v>
      </c>
      <c r="G164" s="471">
        <v>365965999</v>
      </c>
      <c r="H164" s="471"/>
      <c r="I164" s="471">
        <f>SUM(D164:G164)</f>
        <v>365965999</v>
      </c>
    </row>
    <row r="165" spans="1:14" s="517" customFormat="1" ht="13.8" x14ac:dyDescent="0.3">
      <c r="A165" s="484"/>
      <c r="B165" s="485" t="s">
        <v>25</v>
      </c>
      <c r="C165" s="486"/>
      <c r="D165" s="487">
        <f>SUM(D164:D164)</f>
        <v>0</v>
      </c>
      <c r="E165" s="487">
        <f>SUM(E163:E164)</f>
        <v>0</v>
      </c>
      <c r="F165" s="487">
        <f t="shared" ref="F165:I165" si="11">SUM(F163:F164)</f>
        <v>3835400</v>
      </c>
      <c r="G165" s="487">
        <f t="shared" si="11"/>
        <v>383864599</v>
      </c>
      <c r="H165" s="487"/>
      <c r="I165" s="487">
        <f t="shared" si="11"/>
        <v>387699999</v>
      </c>
    </row>
    <row r="166" spans="1:14" s="517" customFormat="1" ht="13.8" x14ac:dyDescent="0.3">
      <c r="A166" s="467"/>
      <c r="B166" s="492"/>
      <c r="C166" s="476"/>
      <c r="D166" s="493"/>
      <c r="E166" s="493"/>
      <c r="F166" s="493"/>
      <c r="G166" s="493"/>
      <c r="H166" s="493"/>
      <c r="I166" s="493"/>
    </row>
    <row r="167" spans="1:14" s="517" customFormat="1" ht="31.5" customHeight="1" x14ac:dyDescent="0.3">
      <c r="A167" s="478">
        <v>11</v>
      </c>
      <c r="B167" s="479" t="s">
        <v>854</v>
      </c>
      <c r="C167" s="480" t="s">
        <v>855</v>
      </c>
      <c r="D167" s="493"/>
      <c r="E167" s="493"/>
      <c r="F167" s="493"/>
      <c r="G167" s="493"/>
      <c r="H167" s="493"/>
      <c r="I167" s="515"/>
    </row>
    <row r="168" spans="1:14" s="517" customFormat="1" x14ac:dyDescent="0.25">
      <c r="A168" s="467"/>
      <c r="B168" s="481" t="s">
        <v>30</v>
      </c>
      <c r="C168" s="8"/>
      <c r="D168" s="8"/>
      <c r="E168" s="8"/>
      <c r="F168" s="8"/>
      <c r="G168" s="8"/>
      <c r="H168" s="8"/>
      <c r="I168" s="8"/>
    </row>
    <row r="169" spans="1:14" s="517" customFormat="1" x14ac:dyDescent="0.25">
      <c r="A169" s="467"/>
      <c r="B169" s="482" t="s">
        <v>861</v>
      </c>
      <c r="C169" s="467" t="s">
        <v>862</v>
      </c>
      <c r="D169" s="471">
        <v>0</v>
      </c>
      <c r="E169" s="471">
        <v>0</v>
      </c>
      <c r="F169" s="471">
        <v>4292600</v>
      </c>
      <c r="G169" s="471">
        <v>17441400</v>
      </c>
      <c r="H169" s="471"/>
      <c r="I169" s="471">
        <f>SUM(D169:G169)</f>
        <v>21734000</v>
      </c>
    </row>
    <row r="170" spans="1:14" s="517" customFormat="1" ht="26.4" x14ac:dyDescent="0.25">
      <c r="A170" s="467"/>
      <c r="B170" s="482"/>
      <c r="C170" s="516" t="s">
        <v>863</v>
      </c>
      <c r="D170" s="471">
        <v>0</v>
      </c>
      <c r="E170" s="471"/>
      <c r="F170" s="471">
        <v>0</v>
      </c>
      <c r="G170" s="471">
        <v>365965999</v>
      </c>
      <c r="H170" s="471"/>
      <c r="I170" s="471">
        <f>SUM(D170:G170)</f>
        <v>365965999</v>
      </c>
    </row>
    <row r="171" spans="1:14" s="517" customFormat="1" ht="13.8" x14ac:dyDescent="0.3">
      <c r="A171" s="484"/>
      <c r="B171" s="485" t="s">
        <v>25</v>
      </c>
      <c r="C171" s="486"/>
      <c r="D171" s="487">
        <f>SUM(D170:D170)</f>
        <v>0</v>
      </c>
      <c r="E171" s="487">
        <f>SUM(E169:E170)</f>
        <v>0</v>
      </c>
      <c r="F171" s="487">
        <v>4292600</v>
      </c>
      <c r="G171" s="487">
        <v>383407399</v>
      </c>
      <c r="H171" s="487"/>
      <c r="I171" s="487">
        <f t="shared" ref="I171" si="12">SUM(I169:I170)</f>
        <v>387699999</v>
      </c>
    </row>
    <row r="172" spans="1:14" s="517" customFormat="1" ht="13.8" x14ac:dyDescent="0.3">
      <c r="A172" s="467"/>
      <c r="B172" s="492"/>
      <c r="C172" s="476"/>
      <c r="D172" s="493"/>
      <c r="E172" s="493"/>
      <c r="F172" s="493"/>
      <c r="G172" s="493"/>
      <c r="H172" s="493"/>
      <c r="I172" s="493"/>
    </row>
    <row r="173" spans="1:14" s="517" customFormat="1" ht="26.4" x14ac:dyDescent="0.3">
      <c r="A173" s="478">
        <v>12</v>
      </c>
      <c r="B173" s="479" t="s">
        <v>856</v>
      </c>
      <c r="C173" s="480" t="s">
        <v>857</v>
      </c>
      <c r="D173" s="493"/>
      <c r="E173" s="493"/>
      <c r="F173" s="493"/>
      <c r="G173" s="493"/>
      <c r="H173" s="493"/>
      <c r="I173" s="515"/>
    </row>
    <row r="174" spans="1:14" s="517" customFormat="1" x14ac:dyDescent="0.25">
      <c r="A174" s="467"/>
      <c r="B174" s="481" t="s">
        <v>30</v>
      </c>
      <c r="C174" s="8"/>
      <c r="D174" s="8"/>
      <c r="E174" s="8"/>
      <c r="F174" s="8"/>
      <c r="G174" s="8"/>
      <c r="H174" s="8"/>
      <c r="I174" s="8"/>
    </row>
    <row r="175" spans="1:14" s="517" customFormat="1" x14ac:dyDescent="0.25">
      <c r="A175" s="467"/>
      <c r="B175" s="482" t="s">
        <v>861</v>
      </c>
      <c r="C175" s="467" t="s">
        <v>862</v>
      </c>
      <c r="D175" s="471">
        <v>0</v>
      </c>
      <c r="E175" s="471">
        <v>0</v>
      </c>
      <c r="F175" s="471">
        <v>5207000</v>
      </c>
      <c r="G175" s="471">
        <v>19067000</v>
      </c>
      <c r="H175" s="471"/>
      <c r="I175" s="471">
        <f>SUM(D175:H175)</f>
        <v>24274000</v>
      </c>
    </row>
    <row r="176" spans="1:14" s="517" customFormat="1" ht="26.4" x14ac:dyDescent="0.25">
      <c r="A176" s="467"/>
      <c r="B176" s="482"/>
      <c r="C176" s="516" t="s">
        <v>863</v>
      </c>
      <c r="D176" s="471">
        <v>0</v>
      </c>
      <c r="E176" s="471"/>
      <c r="F176" s="471">
        <v>0</v>
      </c>
      <c r="G176" s="471">
        <v>363425999</v>
      </c>
      <c r="H176" s="471"/>
      <c r="I176" s="471">
        <f>SUM(D176:H176)</f>
        <v>363425999</v>
      </c>
    </row>
    <row r="177" spans="1:9" s="517" customFormat="1" ht="13.8" x14ac:dyDescent="0.3">
      <c r="A177" s="484"/>
      <c r="B177" s="485" t="s">
        <v>25</v>
      </c>
      <c r="C177" s="486"/>
      <c r="D177" s="487">
        <f>SUM(D176:D176)</f>
        <v>0</v>
      </c>
      <c r="E177" s="487">
        <f>SUM(E175:E176)</f>
        <v>0</v>
      </c>
      <c r="F177" s="487">
        <f t="shared" ref="F177:I177" si="13">SUM(F175:F176)</f>
        <v>5207000</v>
      </c>
      <c r="G177" s="487">
        <f t="shared" si="13"/>
        <v>382492999</v>
      </c>
      <c r="H177" s="487"/>
      <c r="I177" s="487">
        <f t="shared" si="13"/>
        <v>387699999</v>
      </c>
    </row>
    <row r="178" spans="1:9" s="517" customFormat="1" ht="13.8" x14ac:dyDescent="0.3">
      <c r="A178" s="467"/>
      <c r="B178" s="469"/>
      <c r="C178" s="519"/>
      <c r="D178" s="493"/>
      <c r="E178" s="493"/>
      <c r="F178" s="493"/>
      <c r="G178" s="493"/>
      <c r="H178" s="493"/>
      <c r="I178" s="493"/>
    </row>
    <row r="179" spans="1:9" s="517" customFormat="1" ht="30.75" customHeight="1" x14ac:dyDescent="0.25">
      <c r="A179" s="467">
        <v>13</v>
      </c>
      <c r="B179" s="479" t="s">
        <v>858</v>
      </c>
      <c r="C179" s="632" t="s">
        <v>859</v>
      </c>
      <c r="D179" s="632"/>
      <c r="E179" s="476"/>
      <c r="F179" s="476"/>
      <c r="G179" s="476"/>
      <c r="H179" s="476"/>
      <c r="I179" s="477"/>
    </row>
    <row r="180" spans="1:9" s="517" customFormat="1" ht="13.8" x14ac:dyDescent="0.25">
      <c r="A180" s="476"/>
      <c r="B180" s="504" t="s">
        <v>30</v>
      </c>
      <c r="C180" s="480"/>
      <c r="D180" s="8"/>
      <c r="E180" s="476"/>
      <c r="F180" s="476"/>
      <c r="G180" s="476"/>
      <c r="H180" s="476"/>
      <c r="I180" s="477"/>
    </row>
    <row r="181" spans="1:9" s="517" customFormat="1" ht="13.8" x14ac:dyDescent="0.25">
      <c r="A181" s="476"/>
      <c r="B181" s="482" t="s">
        <v>869</v>
      </c>
      <c r="C181" s="483"/>
      <c r="D181" s="471"/>
      <c r="E181" s="471"/>
      <c r="F181" s="471"/>
      <c r="G181" s="471"/>
      <c r="H181" s="471"/>
      <c r="I181" s="471"/>
    </row>
    <row r="182" spans="1:9" s="517" customFormat="1" ht="13.8" x14ac:dyDescent="0.3">
      <c r="A182" s="476"/>
      <c r="B182" s="492"/>
      <c r="C182" s="483" t="s">
        <v>862</v>
      </c>
      <c r="D182" s="471"/>
      <c r="E182" s="471"/>
      <c r="F182" s="471">
        <v>9207500</v>
      </c>
      <c r="G182" s="471">
        <v>38626797</v>
      </c>
      <c r="H182" s="471">
        <v>32164200</v>
      </c>
      <c r="I182" s="471">
        <f>SUM(F182:H182)</f>
        <v>79998497</v>
      </c>
    </row>
    <row r="183" spans="1:9" s="517" customFormat="1" ht="13.8" x14ac:dyDescent="0.3">
      <c r="A183" s="490"/>
      <c r="B183" s="497" t="s">
        <v>25</v>
      </c>
      <c r="C183" s="518"/>
      <c r="D183" s="491">
        <f>SUM(D181:D182)</f>
        <v>0</v>
      </c>
      <c r="E183" s="491">
        <f>SUM(E181:E182)</f>
        <v>0</v>
      </c>
      <c r="F183" s="491">
        <f>SUM(F181:F182)</f>
        <v>9207500</v>
      </c>
      <c r="G183" s="491">
        <f>SUM(G182)</f>
        <v>38626797</v>
      </c>
      <c r="H183" s="491">
        <f>SUM(H182)</f>
        <v>32164200</v>
      </c>
      <c r="I183" s="491">
        <f>SUM(I181:I182)</f>
        <v>79998497</v>
      </c>
    </row>
    <row r="184" spans="1:9" s="517" customFormat="1" ht="13.8" x14ac:dyDescent="0.3">
      <c r="A184" s="467"/>
      <c r="B184" s="492"/>
      <c r="C184" s="476"/>
      <c r="D184" s="493"/>
      <c r="E184" s="493"/>
      <c r="F184" s="493"/>
      <c r="G184" s="493"/>
      <c r="H184" s="493"/>
      <c r="I184" s="493"/>
    </row>
    <row r="185" spans="1:9" ht="13.8" x14ac:dyDescent="0.3">
      <c r="A185" s="467"/>
      <c r="B185" s="492"/>
      <c r="C185" s="476"/>
      <c r="D185" s="493"/>
      <c r="E185" s="493"/>
      <c r="F185" s="493"/>
      <c r="G185" s="493"/>
      <c r="H185" s="493"/>
      <c r="I185" s="493"/>
    </row>
    <row r="186" spans="1:9" ht="15.6" x14ac:dyDescent="0.3">
      <c r="A186" s="630" t="s">
        <v>685</v>
      </c>
      <c r="B186" s="630"/>
      <c r="C186" s="630"/>
      <c r="D186" s="512">
        <f t="shared" ref="D186:I186" si="14">D100+D109+D117+D124+D130+D136+D144+D153+D159+D165+D171+D177+D183</f>
        <v>126286547</v>
      </c>
      <c r="E186" s="512">
        <f t="shared" si="14"/>
        <v>134318914</v>
      </c>
      <c r="F186" s="512">
        <f t="shared" si="14"/>
        <v>701085409</v>
      </c>
      <c r="G186" s="512">
        <f t="shared" si="14"/>
        <v>1773334581</v>
      </c>
      <c r="H186" s="512">
        <f t="shared" si="14"/>
        <v>32164200</v>
      </c>
      <c r="I186" s="512">
        <f t="shared" si="14"/>
        <v>2767189651</v>
      </c>
    </row>
    <row r="187" spans="1:9" x14ac:dyDescent="0.25">
      <c r="A187" s="467"/>
      <c r="B187" s="513"/>
      <c r="C187" s="467"/>
      <c r="D187" s="471"/>
      <c r="E187" s="471"/>
      <c r="F187" s="471"/>
      <c r="G187" s="471"/>
      <c r="H187" s="471"/>
      <c r="I187" s="471"/>
    </row>
    <row r="188" spans="1:9" x14ac:dyDescent="0.25">
      <c r="A188" s="467"/>
      <c r="B188" s="513"/>
      <c r="C188" s="467"/>
      <c r="D188" s="471"/>
      <c r="E188" s="471"/>
      <c r="F188" s="471"/>
      <c r="G188" s="471"/>
      <c r="H188" s="471"/>
      <c r="I188" s="471"/>
    </row>
    <row r="189" spans="1:9" x14ac:dyDescent="0.25">
      <c r="A189" s="467"/>
      <c r="B189" s="513"/>
      <c r="C189" s="467"/>
      <c r="D189" s="471"/>
      <c r="E189" s="471"/>
      <c r="F189" s="471"/>
      <c r="G189" s="471"/>
      <c r="H189" s="471"/>
      <c r="I189" s="471"/>
    </row>
  </sheetData>
  <mergeCells count="16">
    <mergeCell ref="A186:C186"/>
    <mergeCell ref="C22:D22"/>
    <mergeCell ref="C10:D10"/>
    <mergeCell ref="C16:D16"/>
    <mergeCell ref="C92:D92"/>
    <mergeCell ref="C179:D179"/>
    <mergeCell ref="C102:D102"/>
    <mergeCell ref="C111:D111"/>
    <mergeCell ref="C138:D138"/>
    <mergeCell ref="A3:I3"/>
    <mergeCell ref="A5:I5"/>
    <mergeCell ref="B85:C85"/>
    <mergeCell ref="A87:I87"/>
    <mergeCell ref="A88:I88"/>
    <mergeCell ref="C46:D46"/>
    <mergeCell ref="C80:D80"/>
  </mergeCells>
  <pageMargins left="0.70866141732283472" right="0.70866141732283472" top="0.35433070866141736" bottom="0.35433070866141736" header="0.31496062992125984" footer="0.31496062992125984"/>
  <pageSetup paperSize="9" scale="80" fitToHeight="0" orientation="landscape" r:id="rId1"/>
  <rowBreaks count="4" manualBreakCount="4">
    <brk id="44" max="8" man="1"/>
    <brk id="85" max="7" man="1"/>
    <brk id="125" max="8" man="1"/>
    <brk id="165" max="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731F1-3DCC-4AE2-B734-6C9949154C8F}">
  <dimension ref="A1:G281"/>
  <sheetViews>
    <sheetView view="pageBreakPreview" zoomScaleNormal="100" zoomScaleSheetLayoutView="100" workbookViewId="0">
      <selection activeCell="C19" sqref="C19"/>
    </sheetView>
  </sheetViews>
  <sheetFormatPr defaultRowHeight="16.8" x14ac:dyDescent="0.3"/>
  <cols>
    <col min="1" max="1" width="5.88671875" style="29" customWidth="1"/>
    <col min="2" max="2" width="7.6640625" style="19" customWidth="1"/>
    <col min="3" max="3" width="65.44140625" style="19" customWidth="1"/>
    <col min="4" max="4" width="11.109375" style="38" customWidth="1"/>
    <col min="5" max="5" width="10.109375" style="38" customWidth="1"/>
    <col min="6" max="6" width="9.88671875" style="38" customWidth="1"/>
    <col min="7" max="7" width="7.88671875" style="38" customWidth="1"/>
  </cols>
  <sheetData>
    <row r="1" spans="1:7" x14ac:dyDescent="0.3">
      <c r="A1" s="20"/>
      <c r="B1" s="20"/>
      <c r="C1" s="20"/>
      <c r="D1" s="34"/>
      <c r="E1" s="34"/>
      <c r="F1" s="34"/>
      <c r="G1" s="46" t="s">
        <v>952</v>
      </c>
    </row>
    <row r="2" spans="1:7" x14ac:dyDescent="0.3">
      <c r="A2" s="20"/>
      <c r="B2" s="20"/>
      <c r="C2" s="20"/>
      <c r="D2" s="47"/>
      <c r="E2" s="47"/>
      <c r="F2" s="47"/>
      <c r="G2" s="47"/>
    </row>
    <row r="3" spans="1:7" x14ac:dyDescent="0.3">
      <c r="A3" s="21"/>
      <c r="B3" s="21"/>
      <c r="C3" s="21" t="s">
        <v>953</v>
      </c>
    </row>
    <row r="4" spans="1:7" ht="17.399999999999999" thickBot="1" x14ac:dyDescent="0.35">
      <c r="A4" s="22"/>
      <c r="B4" s="22"/>
      <c r="C4" s="22" t="s">
        <v>954</v>
      </c>
    </row>
    <row r="5" spans="1:7" ht="15" customHeight="1" thickBot="1" x14ac:dyDescent="0.3">
      <c r="A5" s="23"/>
      <c r="B5" s="24"/>
      <c r="C5" s="25"/>
      <c r="D5" s="575" t="s">
        <v>200</v>
      </c>
      <c r="E5" s="576"/>
      <c r="F5" s="576"/>
      <c r="G5" s="576"/>
    </row>
    <row r="6" spans="1:7" ht="42" thickBot="1" x14ac:dyDescent="0.3">
      <c r="A6" s="26"/>
      <c r="B6" s="27"/>
      <c r="C6" s="28"/>
      <c r="D6" s="40" t="s">
        <v>24</v>
      </c>
      <c r="E6" s="35" t="s">
        <v>41</v>
      </c>
      <c r="F6" s="36" t="s">
        <v>42</v>
      </c>
      <c r="G6" s="41" t="s">
        <v>185</v>
      </c>
    </row>
    <row r="7" spans="1:7" ht="13.8" x14ac:dyDescent="0.25">
      <c r="A7" s="48" t="s">
        <v>5</v>
      </c>
      <c r="B7" s="49" t="s">
        <v>6</v>
      </c>
      <c r="C7" s="50" t="s">
        <v>7</v>
      </c>
      <c r="D7" s="51"/>
      <c r="E7" s="52"/>
      <c r="F7" s="52"/>
      <c r="G7" s="53"/>
    </row>
    <row r="8" spans="1:7" ht="13.8" x14ac:dyDescent="0.25">
      <c r="A8" s="54"/>
      <c r="B8" s="55"/>
      <c r="C8" s="56"/>
      <c r="D8" s="57"/>
      <c r="E8" s="58"/>
      <c r="F8" s="58"/>
      <c r="G8" s="59"/>
    </row>
    <row r="9" spans="1:7" ht="13.8" x14ac:dyDescent="0.25">
      <c r="A9" s="54">
        <v>101</v>
      </c>
      <c r="B9" s="60"/>
      <c r="C9" s="61" t="s">
        <v>821</v>
      </c>
      <c r="D9" s="57"/>
      <c r="E9" s="58"/>
      <c r="F9" s="58"/>
      <c r="G9" s="59"/>
    </row>
    <row r="10" spans="1:7" ht="13.8" x14ac:dyDescent="0.25">
      <c r="A10" s="62"/>
      <c r="B10" s="63" t="s">
        <v>8</v>
      </c>
      <c r="C10" s="64" t="s">
        <v>21</v>
      </c>
      <c r="D10" s="65">
        <v>435137</v>
      </c>
      <c r="E10" s="42">
        <v>435137</v>
      </c>
      <c r="F10" s="42">
        <v>0</v>
      </c>
      <c r="G10" s="66">
        <v>0</v>
      </c>
    </row>
    <row r="11" spans="1:7" ht="13.8" x14ac:dyDescent="0.25">
      <c r="A11" s="62"/>
      <c r="B11" s="63" t="s">
        <v>12</v>
      </c>
      <c r="C11" s="64" t="s">
        <v>52</v>
      </c>
      <c r="D11" s="65">
        <v>17918</v>
      </c>
      <c r="E11" s="42">
        <v>17918</v>
      </c>
      <c r="F11" s="42">
        <v>0</v>
      </c>
      <c r="G11" s="66">
        <v>0</v>
      </c>
    </row>
    <row r="12" spans="1:7" ht="13.8" x14ac:dyDescent="0.25">
      <c r="A12" s="62"/>
      <c r="B12" s="63" t="s">
        <v>13</v>
      </c>
      <c r="C12" s="64" t="s">
        <v>26</v>
      </c>
      <c r="D12" s="65">
        <v>98584</v>
      </c>
      <c r="E12" s="42">
        <v>98584</v>
      </c>
      <c r="F12" s="42">
        <v>0</v>
      </c>
      <c r="G12" s="66">
        <v>0</v>
      </c>
    </row>
    <row r="13" spans="1:7" ht="13.8" x14ac:dyDescent="0.25">
      <c r="A13" s="75"/>
      <c r="B13" s="69" t="s">
        <v>18</v>
      </c>
      <c r="C13" s="64" t="s">
        <v>47</v>
      </c>
      <c r="D13" s="65"/>
      <c r="E13" s="42"/>
      <c r="F13" s="42"/>
      <c r="G13" s="66"/>
    </row>
    <row r="14" spans="1:7" ht="13.8" x14ac:dyDescent="0.25">
      <c r="A14" s="75"/>
      <c r="B14" s="69"/>
      <c r="C14" s="64" t="s">
        <v>127</v>
      </c>
      <c r="D14" s="65">
        <v>1779</v>
      </c>
      <c r="E14" s="42">
        <v>1779</v>
      </c>
      <c r="F14" s="42">
        <v>0</v>
      </c>
      <c r="G14" s="66">
        <v>0</v>
      </c>
    </row>
    <row r="15" spans="1:7" ht="13.8" x14ac:dyDescent="0.25">
      <c r="A15" s="75"/>
      <c r="B15" s="69"/>
      <c r="C15" s="64" t="s">
        <v>291</v>
      </c>
      <c r="D15" s="65">
        <v>1500</v>
      </c>
      <c r="E15" s="42">
        <v>1500</v>
      </c>
      <c r="F15" s="42">
        <v>0</v>
      </c>
      <c r="G15" s="66">
        <v>0</v>
      </c>
    </row>
    <row r="16" spans="1:7" ht="13.8" x14ac:dyDescent="0.25">
      <c r="A16" s="76"/>
      <c r="B16" s="77"/>
      <c r="C16" s="71" t="s">
        <v>49</v>
      </c>
      <c r="D16" s="72">
        <f t="shared" ref="D16" si="0">SUM(D14:D15)</f>
        <v>3279</v>
      </c>
      <c r="E16" s="73">
        <f t="shared" ref="E16:G16" si="1">SUM(E14:E15)</f>
        <v>3279</v>
      </c>
      <c r="F16" s="73">
        <f t="shared" si="1"/>
        <v>0</v>
      </c>
      <c r="G16" s="74">
        <f t="shared" si="1"/>
        <v>0</v>
      </c>
    </row>
    <row r="17" spans="1:7" ht="13.8" x14ac:dyDescent="0.25">
      <c r="A17" s="75"/>
      <c r="B17" s="69"/>
      <c r="C17" s="56" t="s">
        <v>10</v>
      </c>
      <c r="D17" s="78">
        <f>D10+D11+D12+D16</f>
        <v>554918</v>
      </c>
      <c r="E17" s="79">
        <f>E10+E11+E12+E16</f>
        <v>554918</v>
      </c>
      <c r="F17" s="79">
        <f>F10+F11+F12+F16</f>
        <v>0</v>
      </c>
      <c r="G17" s="80">
        <f>G10+G11+G12+G16</f>
        <v>0</v>
      </c>
    </row>
    <row r="18" spans="1:7" ht="13.8" x14ac:dyDescent="0.25">
      <c r="A18" s="75"/>
      <c r="B18" s="69"/>
      <c r="C18" s="64"/>
      <c r="D18" s="65"/>
      <c r="E18" s="42"/>
      <c r="F18" s="42"/>
      <c r="G18" s="66"/>
    </row>
    <row r="19" spans="1:7" ht="13.8" x14ac:dyDescent="0.25">
      <c r="A19" s="54">
        <v>102</v>
      </c>
      <c r="B19" s="69"/>
      <c r="C19" s="56" t="s">
        <v>156</v>
      </c>
      <c r="D19" s="57"/>
      <c r="E19" s="58"/>
      <c r="F19" s="58"/>
      <c r="G19" s="59"/>
    </row>
    <row r="20" spans="1:7" ht="13.8" x14ac:dyDescent="0.25">
      <c r="A20" s="62"/>
      <c r="B20" s="63" t="s">
        <v>8</v>
      </c>
      <c r="C20" s="64" t="s">
        <v>21</v>
      </c>
      <c r="D20" s="65">
        <v>81546</v>
      </c>
      <c r="E20" s="42">
        <v>81546</v>
      </c>
      <c r="F20" s="42">
        <v>0</v>
      </c>
      <c r="G20" s="66">
        <v>0</v>
      </c>
    </row>
    <row r="21" spans="1:7" ht="13.8" x14ac:dyDescent="0.25">
      <c r="A21" s="62"/>
      <c r="B21" s="63" t="s">
        <v>12</v>
      </c>
      <c r="C21" s="64" t="s">
        <v>52</v>
      </c>
      <c r="D21" s="65">
        <v>10547</v>
      </c>
      <c r="E21" s="42">
        <v>10547</v>
      </c>
      <c r="F21" s="42">
        <v>0</v>
      </c>
      <c r="G21" s="66">
        <v>0</v>
      </c>
    </row>
    <row r="22" spans="1:7" ht="13.8" x14ac:dyDescent="0.25">
      <c r="A22" s="75"/>
      <c r="B22" s="69" t="s">
        <v>13</v>
      </c>
      <c r="C22" s="64" t="s">
        <v>26</v>
      </c>
      <c r="D22" s="65">
        <v>63557</v>
      </c>
      <c r="E22" s="42">
        <v>63557</v>
      </c>
      <c r="F22" s="42">
        <v>0</v>
      </c>
      <c r="G22" s="66">
        <v>0</v>
      </c>
    </row>
    <row r="23" spans="1:7" ht="13.8" x14ac:dyDescent="0.25">
      <c r="A23" s="75"/>
      <c r="B23" s="69" t="s">
        <v>18</v>
      </c>
      <c r="C23" s="64" t="s">
        <v>47</v>
      </c>
      <c r="D23" s="65"/>
      <c r="E23" s="42"/>
      <c r="F23" s="42"/>
      <c r="G23" s="66"/>
    </row>
    <row r="24" spans="1:7" ht="13.8" x14ac:dyDescent="0.25">
      <c r="A24" s="75"/>
      <c r="B24" s="69"/>
      <c r="C24" s="64" t="s">
        <v>282</v>
      </c>
      <c r="D24" s="65">
        <v>4965</v>
      </c>
      <c r="E24" s="42">
        <v>4965</v>
      </c>
      <c r="F24" s="42">
        <v>0</v>
      </c>
      <c r="G24" s="66">
        <v>0</v>
      </c>
    </row>
    <row r="25" spans="1:7" ht="13.8" x14ac:dyDescent="0.25">
      <c r="A25" s="76"/>
      <c r="B25" s="77"/>
      <c r="C25" s="71" t="s">
        <v>49</v>
      </c>
      <c r="D25" s="72">
        <f t="shared" ref="D25:G25" si="2">SUM(D24)</f>
        <v>4965</v>
      </c>
      <c r="E25" s="73">
        <f t="shared" si="2"/>
        <v>4965</v>
      </c>
      <c r="F25" s="73">
        <f t="shared" si="2"/>
        <v>0</v>
      </c>
      <c r="G25" s="74">
        <f t="shared" si="2"/>
        <v>0</v>
      </c>
    </row>
    <row r="26" spans="1:7" ht="13.8" x14ac:dyDescent="0.25">
      <c r="A26" s="76"/>
      <c r="B26" s="69" t="s">
        <v>20</v>
      </c>
      <c r="C26" s="64" t="s">
        <v>19</v>
      </c>
      <c r="D26" s="72"/>
      <c r="E26" s="73"/>
      <c r="F26" s="73"/>
      <c r="G26" s="74"/>
    </row>
    <row r="27" spans="1:7" ht="13.8" x14ac:dyDescent="0.25">
      <c r="A27" s="76"/>
      <c r="B27" s="69"/>
      <c r="C27" s="64" t="s">
        <v>292</v>
      </c>
      <c r="D27" s="65">
        <v>5864</v>
      </c>
      <c r="E27" s="42">
        <v>5864</v>
      </c>
      <c r="F27" s="42">
        <v>0</v>
      </c>
      <c r="G27" s="66">
        <v>0</v>
      </c>
    </row>
    <row r="28" spans="1:7" ht="13.8" x14ac:dyDescent="0.25">
      <c r="A28" s="76"/>
      <c r="B28" s="69"/>
      <c r="C28" s="71" t="s">
        <v>122</v>
      </c>
      <c r="D28" s="72">
        <v>5864</v>
      </c>
      <c r="E28" s="73">
        <v>5864</v>
      </c>
      <c r="F28" s="73">
        <f t="shared" ref="F28:G28" si="3">SUM(F27:F27)</f>
        <v>0</v>
      </c>
      <c r="G28" s="74">
        <f t="shared" si="3"/>
        <v>0</v>
      </c>
    </row>
    <row r="29" spans="1:7" ht="13.8" x14ac:dyDescent="0.25">
      <c r="A29" s="75"/>
      <c r="B29" s="69"/>
      <c r="C29" s="56" t="s">
        <v>250</v>
      </c>
      <c r="D29" s="78">
        <f t="shared" ref="D29:G29" si="4">SUM(D20:D22)+D25+D28</f>
        <v>166479</v>
      </c>
      <c r="E29" s="79">
        <f t="shared" si="4"/>
        <v>166479</v>
      </c>
      <c r="F29" s="79">
        <f t="shared" si="4"/>
        <v>0</v>
      </c>
      <c r="G29" s="80">
        <f t="shared" si="4"/>
        <v>0</v>
      </c>
    </row>
    <row r="30" spans="1:7" ht="13.8" x14ac:dyDescent="0.25">
      <c r="A30" s="75"/>
      <c r="B30" s="69"/>
      <c r="C30" s="56"/>
      <c r="D30" s="57"/>
      <c r="E30" s="58"/>
      <c r="F30" s="58"/>
      <c r="G30" s="59"/>
    </row>
    <row r="31" spans="1:7" ht="13.8" x14ac:dyDescent="0.25">
      <c r="A31" s="54">
        <v>103</v>
      </c>
      <c r="B31" s="69"/>
      <c r="C31" s="56" t="s">
        <v>44</v>
      </c>
      <c r="D31" s="57"/>
      <c r="E31" s="58"/>
      <c r="F31" s="58"/>
      <c r="G31" s="59"/>
    </row>
    <row r="32" spans="1:7" ht="13.8" x14ac:dyDescent="0.25">
      <c r="A32" s="62"/>
      <c r="B32" s="63" t="s">
        <v>8</v>
      </c>
      <c r="C32" s="64" t="s">
        <v>21</v>
      </c>
      <c r="D32" s="65">
        <v>326584</v>
      </c>
      <c r="E32" s="42">
        <v>326584</v>
      </c>
      <c r="F32" s="42">
        <v>0</v>
      </c>
      <c r="G32" s="66">
        <v>0</v>
      </c>
    </row>
    <row r="33" spans="1:7" ht="13.8" x14ac:dyDescent="0.25">
      <c r="A33" s="62"/>
      <c r="B33" s="63" t="s">
        <v>12</v>
      </c>
      <c r="C33" s="64" t="s">
        <v>52</v>
      </c>
      <c r="D33" s="65">
        <v>46796</v>
      </c>
      <c r="E33" s="42">
        <v>46796</v>
      </c>
      <c r="F33" s="42">
        <v>0</v>
      </c>
      <c r="G33" s="66">
        <v>0</v>
      </c>
    </row>
    <row r="34" spans="1:7" ht="13.8" x14ac:dyDescent="0.25">
      <c r="A34" s="75"/>
      <c r="B34" s="69" t="s">
        <v>13</v>
      </c>
      <c r="C34" s="64" t="s">
        <v>26</v>
      </c>
      <c r="D34" s="65">
        <v>76000</v>
      </c>
      <c r="E34" s="42">
        <v>76000</v>
      </c>
      <c r="F34" s="42">
        <v>0</v>
      </c>
      <c r="G34" s="66">
        <v>0</v>
      </c>
    </row>
    <row r="35" spans="1:7" ht="13.8" x14ac:dyDescent="0.25">
      <c r="A35" s="75"/>
      <c r="B35" s="69" t="s">
        <v>18</v>
      </c>
      <c r="C35" s="64" t="s">
        <v>47</v>
      </c>
      <c r="D35" s="65"/>
      <c r="E35" s="42"/>
      <c r="F35" s="42"/>
      <c r="G35" s="66"/>
    </row>
    <row r="36" spans="1:7" ht="13.8" x14ac:dyDescent="0.25">
      <c r="A36" s="62"/>
      <c r="B36" s="82"/>
      <c r="C36" s="64" t="s">
        <v>0</v>
      </c>
      <c r="D36" s="65">
        <v>3000</v>
      </c>
      <c r="E36" s="42">
        <v>3000</v>
      </c>
      <c r="F36" s="42">
        <v>0</v>
      </c>
      <c r="G36" s="66">
        <v>0</v>
      </c>
    </row>
    <row r="37" spans="1:7" ht="13.8" x14ac:dyDescent="0.25">
      <c r="A37" s="75"/>
      <c r="B37" s="69"/>
      <c r="C37" s="64" t="s">
        <v>191</v>
      </c>
      <c r="D37" s="65">
        <v>3000</v>
      </c>
      <c r="E37" s="42">
        <v>3000</v>
      </c>
      <c r="F37" s="42">
        <v>0</v>
      </c>
      <c r="G37" s="66">
        <v>0</v>
      </c>
    </row>
    <row r="38" spans="1:7" ht="13.8" x14ac:dyDescent="0.25">
      <c r="A38" s="75"/>
      <c r="B38" s="69"/>
      <c r="C38" s="64" t="s">
        <v>192</v>
      </c>
      <c r="D38" s="65">
        <v>200</v>
      </c>
      <c r="E38" s="42">
        <v>200</v>
      </c>
      <c r="F38" s="42">
        <v>0</v>
      </c>
      <c r="G38" s="66">
        <v>0</v>
      </c>
    </row>
    <row r="39" spans="1:7" ht="13.8" x14ac:dyDescent="0.25">
      <c r="A39" s="75"/>
      <c r="B39" s="69"/>
      <c r="C39" s="64" t="s">
        <v>896</v>
      </c>
      <c r="D39" s="65">
        <v>3017</v>
      </c>
      <c r="E39" s="42">
        <v>3017</v>
      </c>
      <c r="F39" s="42">
        <v>0</v>
      </c>
      <c r="G39" s="66">
        <v>0</v>
      </c>
    </row>
    <row r="40" spans="1:7" ht="13.8" x14ac:dyDescent="0.25">
      <c r="A40" s="76"/>
      <c r="B40" s="77"/>
      <c r="C40" s="71" t="s">
        <v>49</v>
      </c>
      <c r="D40" s="72">
        <f>SUM(D36:D39)</f>
        <v>9217</v>
      </c>
      <c r="E40" s="73">
        <f t="shared" ref="E40:G40" si="5">SUM(E36:E39)</f>
        <v>9217</v>
      </c>
      <c r="F40" s="73">
        <f t="shared" si="5"/>
        <v>0</v>
      </c>
      <c r="G40" s="74">
        <f t="shared" si="5"/>
        <v>0</v>
      </c>
    </row>
    <row r="41" spans="1:7" ht="13.8" x14ac:dyDescent="0.25">
      <c r="A41" s="75"/>
      <c r="B41" s="69"/>
      <c r="C41" s="56" t="s">
        <v>17</v>
      </c>
      <c r="D41" s="57">
        <f>D32+D33+D34+D40</f>
        <v>458597</v>
      </c>
      <c r="E41" s="58">
        <f>E32+E33+E34+E40</f>
        <v>458597</v>
      </c>
      <c r="F41" s="58">
        <f>F32+F33+F34+F40</f>
        <v>0</v>
      </c>
      <c r="G41" s="59">
        <f>G32+G33+G34+G40</f>
        <v>0</v>
      </c>
    </row>
    <row r="42" spans="1:7" ht="13.8" x14ac:dyDescent="0.25">
      <c r="A42" s="75"/>
      <c r="B42" s="69"/>
      <c r="C42" s="56"/>
      <c r="D42" s="57"/>
      <c r="E42" s="58"/>
      <c r="F42" s="58"/>
      <c r="G42" s="59"/>
    </row>
    <row r="43" spans="1:7" ht="13.8" x14ac:dyDescent="0.25">
      <c r="A43" s="75"/>
      <c r="B43" s="69"/>
      <c r="C43" s="56" t="s">
        <v>249</v>
      </c>
      <c r="D43" s="78">
        <f>D17+D29+D41</f>
        <v>1179994</v>
      </c>
      <c r="E43" s="79">
        <f>E17+E29+E41</f>
        <v>1179994</v>
      </c>
      <c r="F43" s="79">
        <f>F17+F29+F41</f>
        <v>0</v>
      </c>
      <c r="G43" s="80">
        <f>G17+G29+G41</f>
        <v>0</v>
      </c>
    </row>
    <row r="44" spans="1:7" ht="14.4" x14ac:dyDescent="0.3">
      <c r="A44" s="75"/>
      <c r="B44" s="69"/>
      <c r="C44" s="83"/>
      <c r="D44" s="84"/>
      <c r="E44" s="85"/>
      <c r="F44" s="85"/>
      <c r="G44" s="86"/>
    </row>
    <row r="45" spans="1:7" ht="13.8" x14ac:dyDescent="0.25">
      <c r="A45" s="54">
        <v>104</v>
      </c>
      <c r="B45" s="69"/>
      <c r="C45" s="56" t="s">
        <v>30</v>
      </c>
      <c r="D45" s="57"/>
      <c r="E45" s="58"/>
      <c r="F45" s="58"/>
      <c r="G45" s="59"/>
    </row>
    <row r="46" spans="1:7" ht="14.4" x14ac:dyDescent="0.3">
      <c r="A46" s="75"/>
      <c r="B46" s="69" t="s">
        <v>8</v>
      </c>
      <c r="C46" s="64" t="s">
        <v>21</v>
      </c>
      <c r="D46" s="84"/>
      <c r="E46" s="85"/>
      <c r="F46" s="85"/>
      <c r="G46" s="86"/>
    </row>
    <row r="47" spans="1:7" ht="13.8" x14ac:dyDescent="0.25">
      <c r="A47" s="75"/>
      <c r="B47" s="69"/>
      <c r="C47" s="64" t="s">
        <v>150</v>
      </c>
      <c r="D47" s="65">
        <v>37501</v>
      </c>
      <c r="E47" s="42">
        <v>37501</v>
      </c>
      <c r="F47" s="42">
        <v>0</v>
      </c>
      <c r="G47" s="66">
        <v>0</v>
      </c>
    </row>
    <row r="48" spans="1:7" ht="13.8" x14ac:dyDescent="0.25">
      <c r="A48" s="75"/>
      <c r="B48" s="69"/>
      <c r="C48" s="81" t="s">
        <v>183</v>
      </c>
      <c r="D48" s="65">
        <v>26411</v>
      </c>
      <c r="E48" s="42">
        <v>26411</v>
      </c>
      <c r="F48" s="42">
        <v>0</v>
      </c>
      <c r="G48" s="66">
        <v>0</v>
      </c>
    </row>
    <row r="49" spans="1:7" ht="13.8" x14ac:dyDescent="0.25">
      <c r="A49" s="75"/>
      <c r="B49" s="69"/>
      <c r="C49" s="81" t="s">
        <v>151</v>
      </c>
      <c r="D49" s="65">
        <v>13462</v>
      </c>
      <c r="E49" s="42">
        <v>0</v>
      </c>
      <c r="F49" s="42">
        <v>13462</v>
      </c>
      <c r="G49" s="66">
        <v>0</v>
      </c>
    </row>
    <row r="50" spans="1:7" ht="13.8" x14ac:dyDescent="0.25">
      <c r="A50" s="75"/>
      <c r="B50" s="69"/>
      <c r="C50" s="81" t="s">
        <v>152</v>
      </c>
      <c r="D50" s="65">
        <v>56329</v>
      </c>
      <c r="E50" s="42">
        <v>56329</v>
      </c>
      <c r="F50" s="42">
        <v>0</v>
      </c>
      <c r="G50" s="66">
        <v>0</v>
      </c>
    </row>
    <row r="51" spans="1:7" ht="13.8" x14ac:dyDescent="0.25">
      <c r="A51" s="75"/>
      <c r="B51" s="69"/>
      <c r="C51" s="64" t="s">
        <v>193</v>
      </c>
      <c r="D51" s="65">
        <v>2845</v>
      </c>
      <c r="E51" s="42">
        <v>2845</v>
      </c>
      <c r="F51" s="42">
        <v>0</v>
      </c>
      <c r="G51" s="66">
        <v>0</v>
      </c>
    </row>
    <row r="52" spans="1:7" ht="13.8" x14ac:dyDescent="0.25">
      <c r="A52" s="75"/>
      <c r="B52" s="69"/>
      <c r="C52" s="81" t="s">
        <v>204</v>
      </c>
      <c r="D52" s="65">
        <v>36886</v>
      </c>
      <c r="E52" s="42">
        <v>36886</v>
      </c>
      <c r="F52" s="42">
        <v>0</v>
      </c>
      <c r="G52" s="66">
        <v>0</v>
      </c>
    </row>
    <row r="53" spans="1:7" ht="13.8" x14ac:dyDescent="0.25">
      <c r="A53" s="75"/>
      <c r="B53" s="69"/>
      <c r="C53" s="81"/>
      <c r="D53" s="65"/>
      <c r="E53" s="42"/>
      <c r="F53" s="42"/>
      <c r="G53" s="66"/>
    </row>
    <row r="54" spans="1:7" ht="14.4" x14ac:dyDescent="0.3">
      <c r="A54" s="75"/>
      <c r="B54" s="69"/>
      <c r="C54" s="83" t="s">
        <v>33</v>
      </c>
      <c r="D54" s="84">
        <f t="shared" ref="D54:G54" si="6">SUM(D47:D53)</f>
        <v>173434</v>
      </c>
      <c r="E54" s="85">
        <f t="shared" si="6"/>
        <v>159972</v>
      </c>
      <c r="F54" s="85">
        <f t="shared" si="6"/>
        <v>13462</v>
      </c>
      <c r="G54" s="86">
        <f t="shared" si="6"/>
        <v>0</v>
      </c>
    </row>
    <row r="55" spans="1:7" ht="14.4" x14ac:dyDescent="0.3">
      <c r="A55" s="75"/>
      <c r="B55" s="69"/>
      <c r="C55" s="83"/>
      <c r="D55" s="84"/>
      <c r="E55" s="85"/>
      <c r="F55" s="85"/>
      <c r="G55" s="86"/>
    </row>
    <row r="56" spans="1:7" ht="14.4" x14ac:dyDescent="0.3">
      <c r="A56" s="75"/>
      <c r="B56" s="69" t="s">
        <v>12</v>
      </c>
      <c r="C56" s="64" t="s">
        <v>52</v>
      </c>
      <c r="D56" s="84"/>
      <c r="E56" s="85"/>
      <c r="F56" s="85"/>
      <c r="G56" s="86"/>
    </row>
    <row r="57" spans="1:7" ht="13.8" x14ac:dyDescent="0.25">
      <c r="A57" s="75"/>
      <c r="B57" s="69"/>
      <c r="C57" s="64" t="s">
        <v>150</v>
      </c>
      <c r="D57" s="65">
        <v>4682</v>
      </c>
      <c r="E57" s="42">
        <v>4682</v>
      </c>
      <c r="F57" s="42">
        <v>0</v>
      </c>
      <c r="G57" s="66">
        <v>0</v>
      </c>
    </row>
    <row r="58" spans="1:7" ht="13.8" x14ac:dyDescent="0.25">
      <c r="A58" s="75"/>
      <c r="B58" s="69"/>
      <c r="C58" s="81" t="s">
        <v>183</v>
      </c>
      <c r="D58" s="65">
        <v>3453</v>
      </c>
      <c r="E58" s="42">
        <v>3453</v>
      </c>
      <c r="F58" s="42">
        <v>0</v>
      </c>
      <c r="G58" s="66">
        <v>0</v>
      </c>
    </row>
    <row r="59" spans="1:7" ht="13.8" x14ac:dyDescent="0.25">
      <c r="A59" s="75"/>
      <c r="B59" s="69"/>
      <c r="C59" s="81" t="s">
        <v>151</v>
      </c>
      <c r="D59" s="65">
        <v>1649</v>
      </c>
      <c r="E59" s="42">
        <v>0</v>
      </c>
      <c r="F59" s="42">
        <v>1649</v>
      </c>
      <c r="G59" s="66">
        <v>0</v>
      </c>
    </row>
    <row r="60" spans="1:7" ht="13.8" x14ac:dyDescent="0.25">
      <c r="A60" s="75"/>
      <c r="B60" s="69"/>
      <c r="C60" s="81" t="s">
        <v>153</v>
      </c>
      <c r="D60" s="65">
        <v>8405</v>
      </c>
      <c r="E60" s="42">
        <v>8405</v>
      </c>
      <c r="F60" s="42">
        <v>0</v>
      </c>
      <c r="G60" s="66">
        <v>0</v>
      </c>
    </row>
    <row r="61" spans="1:7" ht="13.8" x14ac:dyDescent="0.25">
      <c r="A61" s="75"/>
      <c r="B61" s="69"/>
      <c r="C61" s="64" t="s">
        <v>193</v>
      </c>
      <c r="D61" s="65">
        <v>555</v>
      </c>
      <c r="E61" s="42">
        <v>555</v>
      </c>
      <c r="F61" s="42">
        <v>0</v>
      </c>
      <c r="G61" s="66">
        <v>0</v>
      </c>
    </row>
    <row r="62" spans="1:7" ht="13.8" x14ac:dyDescent="0.25">
      <c r="A62" s="75"/>
      <c r="B62" s="69"/>
      <c r="C62" s="81" t="s">
        <v>204</v>
      </c>
      <c r="D62" s="65">
        <v>4795</v>
      </c>
      <c r="E62" s="42">
        <v>4795</v>
      </c>
      <c r="F62" s="42">
        <v>0</v>
      </c>
      <c r="G62" s="66">
        <v>0</v>
      </c>
    </row>
    <row r="63" spans="1:7" ht="13.8" x14ac:dyDescent="0.25">
      <c r="A63" s="75"/>
      <c r="B63" s="69"/>
      <c r="C63" s="81"/>
      <c r="D63" s="65"/>
      <c r="E63" s="42"/>
      <c r="F63" s="42"/>
      <c r="G63" s="66"/>
    </row>
    <row r="64" spans="1:7" ht="14.4" x14ac:dyDescent="0.3">
      <c r="A64" s="75"/>
      <c r="B64" s="69"/>
      <c r="C64" s="83" t="s">
        <v>34</v>
      </c>
      <c r="D64" s="84">
        <f t="shared" ref="D64:G64" si="7">SUM(D57:D63)</f>
        <v>23539</v>
      </c>
      <c r="E64" s="85">
        <f t="shared" si="7"/>
        <v>21890</v>
      </c>
      <c r="F64" s="85">
        <f t="shared" si="7"/>
        <v>1649</v>
      </c>
      <c r="G64" s="86">
        <f t="shared" si="7"/>
        <v>0</v>
      </c>
    </row>
    <row r="65" spans="1:7" ht="14.4" x14ac:dyDescent="0.3">
      <c r="A65" s="75"/>
      <c r="B65" s="69"/>
      <c r="C65" s="83"/>
      <c r="D65" s="84"/>
      <c r="E65" s="85"/>
      <c r="F65" s="85"/>
      <c r="G65" s="86"/>
    </row>
    <row r="66" spans="1:7" ht="14.4" x14ac:dyDescent="0.3">
      <c r="A66" s="75"/>
      <c r="B66" s="69" t="s">
        <v>13</v>
      </c>
      <c r="C66" s="64" t="s">
        <v>26</v>
      </c>
      <c r="D66" s="84"/>
      <c r="E66" s="85"/>
      <c r="F66" s="85"/>
      <c r="G66" s="86"/>
    </row>
    <row r="67" spans="1:7" ht="13.8" x14ac:dyDescent="0.25">
      <c r="A67" s="75"/>
      <c r="B67" s="29"/>
      <c r="C67" s="64" t="s">
        <v>31</v>
      </c>
      <c r="D67" s="65">
        <v>2000</v>
      </c>
      <c r="E67" s="42">
        <v>0</v>
      </c>
      <c r="F67" s="42">
        <v>2000</v>
      </c>
      <c r="G67" s="66">
        <v>0</v>
      </c>
    </row>
    <row r="68" spans="1:7" ht="13.8" x14ac:dyDescent="0.25">
      <c r="A68" s="75"/>
      <c r="B68" s="69"/>
      <c r="C68" s="64" t="s">
        <v>81</v>
      </c>
      <c r="D68" s="65">
        <v>2500</v>
      </c>
      <c r="E68" s="42">
        <v>2500</v>
      </c>
      <c r="F68" s="42">
        <v>0</v>
      </c>
      <c r="G68" s="66">
        <v>0</v>
      </c>
    </row>
    <row r="69" spans="1:7" ht="13.8" x14ac:dyDescent="0.25">
      <c r="A69" s="75"/>
      <c r="B69" s="69"/>
      <c r="C69" s="64" t="s">
        <v>243</v>
      </c>
      <c r="D69" s="65">
        <v>1659</v>
      </c>
      <c r="E69" s="42">
        <v>1659</v>
      </c>
      <c r="F69" s="42">
        <v>0</v>
      </c>
      <c r="G69" s="66">
        <v>0</v>
      </c>
    </row>
    <row r="70" spans="1:7" ht="13.8" x14ac:dyDescent="0.25">
      <c r="A70" s="75"/>
      <c r="B70" s="69"/>
      <c r="C70" s="64" t="s">
        <v>251</v>
      </c>
      <c r="D70" s="65">
        <v>21000</v>
      </c>
      <c r="E70" s="42">
        <v>21000</v>
      </c>
      <c r="F70" s="42">
        <v>0</v>
      </c>
      <c r="G70" s="66">
        <v>0</v>
      </c>
    </row>
    <row r="71" spans="1:7" ht="13.8" x14ac:dyDescent="0.25">
      <c r="A71" s="75"/>
      <c r="B71" s="69"/>
      <c r="C71" s="64" t="s">
        <v>252</v>
      </c>
      <c r="D71" s="65">
        <v>40000</v>
      </c>
      <c r="E71" s="42">
        <v>40000</v>
      </c>
      <c r="F71" s="42">
        <v>0</v>
      </c>
      <c r="G71" s="66">
        <v>0</v>
      </c>
    </row>
    <row r="72" spans="1:7" ht="13.8" x14ac:dyDescent="0.25">
      <c r="A72" s="75"/>
      <c r="B72" s="69"/>
      <c r="C72" s="64" t="s">
        <v>253</v>
      </c>
      <c r="D72" s="65">
        <v>5000</v>
      </c>
      <c r="E72" s="42">
        <v>5000</v>
      </c>
      <c r="F72" s="42">
        <v>0</v>
      </c>
      <c r="G72" s="66">
        <v>0</v>
      </c>
    </row>
    <row r="73" spans="1:7" ht="13.8" x14ac:dyDescent="0.25">
      <c r="A73" s="62"/>
      <c r="B73" s="82"/>
      <c r="C73" s="64" t="s">
        <v>254</v>
      </c>
      <c r="D73" s="65">
        <v>7000</v>
      </c>
      <c r="E73" s="42">
        <v>7000</v>
      </c>
      <c r="F73" s="42">
        <v>0</v>
      </c>
      <c r="G73" s="66">
        <v>0</v>
      </c>
    </row>
    <row r="74" spans="1:7" ht="13.8" x14ac:dyDescent="0.25">
      <c r="A74" s="75"/>
      <c r="B74" s="69"/>
      <c r="C74" s="64" t="s">
        <v>255</v>
      </c>
      <c r="D74" s="65">
        <v>50000</v>
      </c>
      <c r="E74" s="42">
        <v>50000</v>
      </c>
      <c r="F74" s="42">
        <v>0</v>
      </c>
      <c r="G74" s="66">
        <v>0</v>
      </c>
    </row>
    <row r="75" spans="1:7" ht="13.8" x14ac:dyDescent="0.25">
      <c r="A75" s="75"/>
      <c r="B75" s="69"/>
      <c r="C75" s="64" t="s">
        <v>256</v>
      </c>
      <c r="D75" s="65">
        <v>15000</v>
      </c>
      <c r="E75" s="42">
        <v>15000</v>
      </c>
      <c r="F75" s="42">
        <v>0</v>
      </c>
      <c r="G75" s="66">
        <v>0</v>
      </c>
    </row>
    <row r="76" spans="1:7" ht="27.6" x14ac:dyDescent="0.25">
      <c r="A76" s="75"/>
      <c r="B76" s="69"/>
      <c r="C76" s="81" t="s">
        <v>257</v>
      </c>
      <c r="D76" s="65">
        <v>16000</v>
      </c>
      <c r="E76" s="42">
        <v>16000</v>
      </c>
      <c r="F76" s="42">
        <v>0</v>
      </c>
      <c r="G76" s="66">
        <v>0</v>
      </c>
    </row>
    <row r="77" spans="1:7" ht="13.8" x14ac:dyDescent="0.25">
      <c r="A77" s="75"/>
      <c r="B77" s="69"/>
      <c r="C77" s="64" t="s">
        <v>258</v>
      </c>
      <c r="D77" s="65">
        <v>5600</v>
      </c>
      <c r="E77" s="42">
        <v>5600</v>
      </c>
      <c r="F77" s="42">
        <v>0</v>
      </c>
      <c r="G77" s="66">
        <v>0</v>
      </c>
    </row>
    <row r="78" spans="1:7" ht="13.8" x14ac:dyDescent="0.25">
      <c r="A78" s="75"/>
      <c r="B78" s="69"/>
      <c r="C78" s="64" t="s">
        <v>259</v>
      </c>
      <c r="D78" s="65">
        <v>45000</v>
      </c>
      <c r="E78" s="42">
        <v>45000</v>
      </c>
      <c r="F78" s="42">
        <v>0</v>
      </c>
      <c r="G78" s="66">
        <v>0</v>
      </c>
    </row>
    <row r="79" spans="1:7" ht="13.8" x14ac:dyDescent="0.25">
      <c r="A79" s="75"/>
      <c r="B79" s="69"/>
      <c r="C79" s="64" t="s">
        <v>260</v>
      </c>
      <c r="D79" s="65"/>
      <c r="E79" s="42"/>
      <c r="F79" s="42"/>
      <c r="G79" s="66"/>
    </row>
    <row r="80" spans="1:7" ht="13.8" x14ac:dyDescent="0.25">
      <c r="A80" s="75"/>
      <c r="B80" s="69"/>
      <c r="C80" s="64" t="s">
        <v>261</v>
      </c>
      <c r="D80" s="65">
        <v>2000</v>
      </c>
      <c r="E80" s="42">
        <v>2000</v>
      </c>
      <c r="F80" s="42">
        <v>0</v>
      </c>
      <c r="G80" s="66">
        <v>0</v>
      </c>
    </row>
    <row r="81" spans="1:7" ht="13.8" x14ac:dyDescent="0.25">
      <c r="A81" s="75"/>
      <c r="B81" s="69"/>
      <c r="C81" s="64" t="s">
        <v>262</v>
      </c>
      <c r="D81" s="65">
        <v>6600</v>
      </c>
      <c r="E81" s="42">
        <v>6600</v>
      </c>
      <c r="F81" s="42">
        <v>0</v>
      </c>
      <c r="G81" s="66">
        <v>0</v>
      </c>
    </row>
    <row r="82" spans="1:7" ht="13.8" x14ac:dyDescent="0.25">
      <c r="A82" s="75"/>
      <c r="B82" s="69"/>
      <c r="C82" s="64" t="s">
        <v>263</v>
      </c>
      <c r="D82" s="65">
        <v>8600</v>
      </c>
      <c r="E82" s="42">
        <v>8600</v>
      </c>
      <c r="F82" s="42">
        <v>0</v>
      </c>
      <c r="G82" s="66">
        <v>0</v>
      </c>
    </row>
    <row r="83" spans="1:7" ht="13.8" x14ac:dyDescent="0.25">
      <c r="A83" s="75"/>
      <c r="B83" s="69"/>
      <c r="C83" s="81" t="s">
        <v>264</v>
      </c>
      <c r="D83" s="87">
        <v>30000</v>
      </c>
      <c r="E83" s="88">
        <v>0</v>
      </c>
      <c r="F83" s="88">
        <v>30000</v>
      </c>
      <c r="G83" s="89">
        <v>0</v>
      </c>
    </row>
    <row r="84" spans="1:7" ht="13.8" x14ac:dyDescent="0.25">
      <c r="A84" s="75"/>
      <c r="B84" s="69"/>
      <c r="C84" s="81" t="s">
        <v>265</v>
      </c>
      <c r="D84" s="87">
        <v>35000</v>
      </c>
      <c r="E84" s="88">
        <v>35000</v>
      </c>
      <c r="F84" s="88">
        <v>0</v>
      </c>
      <c r="G84" s="89">
        <v>0</v>
      </c>
    </row>
    <row r="85" spans="1:7" ht="13.8" x14ac:dyDescent="0.25">
      <c r="A85" s="75"/>
      <c r="B85" s="69"/>
      <c r="C85" s="81" t="s">
        <v>266</v>
      </c>
      <c r="D85" s="87">
        <v>100000</v>
      </c>
      <c r="E85" s="88">
        <v>0</v>
      </c>
      <c r="F85" s="88">
        <v>100000</v>
      </c>
      <c r="G85" s="89">
        <v>0</v>
      </c>
    </row>
    <row r="86" spans="1:7" ht="13.8" x14ac:dyDescent="0.25">
      <c r="A86" s="75"/>
      <c r="B86" s="69"/>
      <c r="C86" s="81" t="s">
        <v>267</v>
      </c>
      <c r="D86" s="87">
        <v>14000</v>
      </c>
      <c r="E86" s="88">
        <v>0</v>
      </c>
      <c r="F86" s="88">
        <v>14000</v>
      </c>
      <c r="G86" s="89">
        <v>0</v>
      </c>
    </row>
    <row r="87" spans="1:7" ht="13.8" x14ac:dyDescent="0.25">
      <c r="A87" s="75"/>
      <c r="B87" s="69"/>
      <c r="C87" s="81" t="s">
        <v>268</v>
      </c>
      <c r="D87" s="87"/>
      <c r="E87" s="88"/>
      <c r="F87" s="88"/>
      <c r="G87" s="89"/>
    </row>
    <row r="88" spans="1:7" ht="13.8" x14ac:dyDescent="0.25">
      <c r="A88" s="75"/>
      <c r="B88" s="69"/>
      <c r="C88" s="81" t="s">
        <v>269</v>
      </c>
      <c r="D88" s="87">
        <v>600</v>
      </c>
      <c r="E88" s="88">
        <v>0</v>
      </c>
      <c r="F88" s="88">
        <v>600</v>
      </c>
      <c r="G88" s="89">
        <v>0</v>
      </c>
    </row>
    <row r="89" spans="1:7" ht="13.8" x14ac:dyDescent="0.25">
      <c r="A89" s="75"/>
      <c r="B89" s="69"/>
      <c r="C89" s="81" t="s">
        <v>270</v>
      </c>
      <c r="D89" s="87">
        <v>10000</v>
      </c>
      <c r="E89" s="88">
        <v>0</v>
      </c>
      <c r="F89" s="88">
        <v>10000</v>
      </c>
      <c r="G89" s="89">
        <v>0</v>
      </c>
    </row>
    <row r="90" spans="1:7" ht="13.8" x14ac:dyDescent="0.25">
      <c r="A90" s="75"/>
      <c r="B90" s="69"/>
      <c r="C90" s="81" t="s">
        <v>271</v>
      </c>
      <c r="D90" s="87">
        <v>13000</v>
      </c>
      <c r="E90" s="88">
        <v>13000</v>
      </c>
      <c r="F90" s="88">
        <v>0</v>
      </c>
      <c r="G90" s="89">
        <v>0</v>
      </c>
    </row>
    <row r="91" spans="1:7" ht="13.8" x14ac:dyDescent="0.25">
      <c r="A91" s="62"/>
      <c r="B91" s="82"/>
      <c r="C91" s="64" t="s">
        <v>272</v>
      </c>
      <c r="D91" s="65">
        <v>25300</v>
      </c>
      <c r="E91" s="42">
        <v>25300</v>
      </c>
      <c r="F91" s="42">
        <v>0</v>
      </c>
      <c r="G91" s="66">
        <v>0</v>
      </c>
    </row>
    <row r="92" spans="1:7" ht="13.8" x14ac:dyDescent="0.25">
      <c r="A92" s="75"/>
      <c r="B92" s="69"/>
      <c r="C92" s="81" t="s">
        <v>273</v>
      </c>
      <c r="D92" s="87">
        <v>9000</v>
      </c>
      <c r="E92" s="88">
        <v>9000</v>
      </c>
      <c r="F92" s="88">
        <v>0</v>
      </c>
      <c r="G92" s="89">
        <v>0</v>
      </c>
    </row>
    <row r="93" spans="1:7" ht="31.5" customHeight="1" x14ac:dyDescent="0.25">
      <c r="A93" s="75"/>
      <c r="B93" s="69"/>
      <c r="C93" s="81" t="s">
        <v>274</v>
      </c>
      <c r="D93" s="87">
        <v>361</v>
      </c>
      <c r="E93" s="88">
        <v>361</v>
      </c>
      <c r="F93" s="88">
        <v>0</v>
      </c>
      <c r="G93" s="89">
        <v>0</v>
      </c>
    </row>
    <row r="94" spans="1:7" ht="41.4" x14ac:dyDescent="0.25">
      <c r="A94" s="75"/>
      <c r="B94" s="69"/>
      <c r="C94" s="81" t="s">
        <v>275</v>
      </c>
      <c r="D94" s="87">
        <v>1103</v>
      </c>
      <c r="E94" s="88">
        <v>1103</v>
      </c>
      <c r="F94" s="88">
        <v>0</v>
      </c>
      <c r="G94" s="89">
        <v>0</v>
      </c>
    </row>
    <row r="95" spans="1:7" ht="41.4" x14ac:dyDescent="0.25">
      <c r="A95" s="75"/>
      <c r="B95" s="69"/>
      <c r="C95" s="81" t="s">
        <v>276</v>
      </c>
      <c r="D95" s="87">
        <v>726</v>
      </c>
      <c r="E95" s="88">
        <v>726</v>
      </c>
      <c r="F95" s="88">
        <v>0</v>
      </c>
      <c r="G95" s="89">
        <v>0</v>
      </c>
    </row>
    <row r="96" spans="1:7" ht="13.8" x14ac:dyDescent="0.25">
      <c r="A96" s="75"/>
      <c r="B96" s="69"/>
      <c r="C96" s="81" t="s">
        <v>277</v>
      </c>
      <c r="D96" s="87">
        <v>6</v>
      </c>
      <c r="E96" s="88">
        <v>6</v>
      </c>
      <c r="F96" s="88">
        <v>0</v>
      </c>
      <c r="G96" s="89">
        <v>0</v>
      </c>
    </row>
    <row r="97" spans="1:7" ht="27.6" x14ac:dyDescent="0.25">
      <c r="A97" s="75"/>
      <c r="B97" s="69"/>
      <c r="C97" s="81" t="s">
        <v>278</v>
      </c>
      <c r="D97" s="87">
        <v>2494</v>
      </c>
      <c r="E97" s="88">
        <v>2494</v>
      </c>
      <c r="F97" s="88">
        <v>0</v>
      </c>
      <c r="G97" s="89">
        <v>0</v>
      </c>
    </row>
    <row r="98" spans="1:7" ht="13.8" x14ac:dyDescent="0.25">
      <c r="A98" s="75"/>
      <c r="B98" s="69"/>
      <c r="C98" s="81" t="s">
        <v>279</v>
      </c>
      <c r="D98" s="87">
        <v>2921</v>
      </c>
      <c r="E98" s="88">
        <v>2921</v>
      </c>
      <c r="F98" s="88">
        <v>0</v>
      </c>
      <c r="G98" s="89">
        <v>0</v>
      </c>
    </row>
    <row r="99" spans="1:7" ht="13.8" x14ac:dyDescent="0.25">
      <c r="A99" s="75"/>
      <c r="B99" s="69"/>
      <c r="C99" s="64" t="s">
        <v>871</v>
      </c>
      <c r="D99" s="87">
        <v>2538</v>
      </c>
      <c r="E99" s="88">
        <v>2538</v>
      </c>
      <c r="F99" s="88">
        <v>0</v>
      </c>
      <c r="G99" s="89">
        <v>0</v>
      </c>
    </row>
    <row r="100" spans="1:7" ht="27.6" x14ac:dyDescent="0.25">
      <c r="A100" s="62"/>
      <c r="B100" s="82"/>
      <c r="C100" s="81" t="s">
        <v>872</v>
      </c>
      <c r="D100" s="65">
        <v>3845</v>
      </c>
      <c r="E100" s="42">
        <v>3845</v>
      </c>
      <c r="F100" s="42">
        <v>0</v>
      </c>
      <c r="G100" s="66">
        <v>0</v>
      </c>
    </row>
    <row r="101" spans="1:7" ht="27.6" x14ac:dyDescent="0.25">
      <c r="A101" s="62"/>
      <c r="B101" s="82"/>
      <c r="C101" s="81" t="s">
        <v>873</v>
      </c>
      <c r="D101" s="65">
        <v>17899</v>
      </c>
      <c r="E101" s="42">
        <v>17899</v>
      </c>
      <c r="F101" s="42">
        <v>0</v>
      </c>
      <c r="G101" s="66">
        <v>0</v>
      </c>
    </row>
    <row r="102" spans="1:7" ht="27.6" x14ac:dyDescent="0.25">
      <c r="A102" s="62"/>
      <c r="B102" s="82"/>
      <c r="C102" s="81" t="s">
        <v>874</v>
      </c>
      <c r="D102" s="65">
        <v>17441</v>
      </c>
      <c r="E102" s="42">
        <v>17441</v>
      </c>
      <c r="F102" s="42">
        <v>0</v>
      </c>
      <c r="G102" s="66">
        <v>0</v>
      </c>
    </row>
    <row r="103" spans="1:7" ht="27.6" x14ac:dyDescent="0.25">
      <c r="A103" s="62"/>
      <c r="B103" s="82"/>
      <c r="C103" s="81" t="s">
        <v>875</v>
      </c>
      <c r="D103" s="65">
        <v>19067</v>
      </c>
      <c r="E103" s="42">
        <v>19067</v>
      </c>
      <c r="F103" s="42">
        <v>0</v>
      </c>
      <c r="G103" s="66">
        <v>0</v>
      </c>
    </row>
    <row r="104" spans="1:7" ht="13.8" x14ac:dyDescent="0.25">
      <c r="A104" s="62"/>
      <c r="B104" s="82"/>
      <c r="C104" s="81" t="s">
        <v>876</v>
      </c>
      <c r="D104" s="65">
        <v>38627</v>
      </c>
      <c r="E104" s="42">
        <v>38627</v>
      </c>
      <c r="F104" s="42">
        <v>0</v>
      </c>
      <c r="G104" s="66">
        <v>0</v>
      </c>
    </row>
    <row r="105" spans="1:7" ht="13.8" x14ac:dyDescent="0.25">
      <c r="A105" s="75"/>
      <c r="B105" s="69"/>
      <c r="C105" s="81" t="s">
        <v>877</v>
      </c>
      <c r="D105" s="87">
        <v>30000</v>
      </c>
      <c r="E105" s="88">
        <v>0</v>
      </c>
      <c r="F105" s="88">
        <v>30000</v>
      </c>
      <c r="G105" s="89">
        <v>0</v>
      </c>
    </row>
    <row r="106" spans="1:7" ht="13.8" x14ac:dyDescent="0.25">
      <c r="A106" s="75"/>
      <c r="B106" s="69"/>
      <c r="C106" s="81" t="s">
        <v>947</v>
      </c>
      <c r="D106" s="87">
        <v>37000</v>
      </c>
      <c r="E106" s="88">
        <v>37000</v>
      </c>
      <c r="F106" s="88">
        <v>0</v>
      </c>
      <c r="G106" s="89">
        <v>0</v>
      </c>
    </row>
    <row r="107" spans="1:7" ht="13.8" x14ac:dyDescent="0.25">
      <c r="A107" s="75"/>
      <c r="B107" s="69"/>
      <c r="C107" s="81" t="s">
        <v>878</v>
      </c>
      <c r="D107" s="87">
        <v>2000</v>
      </c>
      <c r="E107" s="88">
        <v>0</v>
      </c>
      <c r="F107" s="88">
        <v>2000</v>
      </c>
      <c r="G107" s="89">
        <v>0</v>
      </c>
    </row>
    <row r="108" spans="1:7" ht="13.8" x14ac:dyDescent="0.25">
      <c r="A108" s="62"/>
      <c r="B108" s="82"/>
      <c r="C108" s="64" t="s">
        <v>879</v>
      </c>
      <c r="D108" s="65">
        <v>480</v>
      </c>
      <c r="E108" s="42">
        <v>480</v>
      </c>
      <c r="F108" s="42">
        <v>0</v>
      </c>
      <c r="G108" s="66">
        <v>0</v>
      </c>
    </row>
    <row r="109" spans="1:7" ht="13.8" x14ac:dyDescent="0.25">
      <c r="A109" s="62"/>
      <c r="B109" s="82"/>
      <c r="C109" s="81" t="s">
        <v>880</v>
      </c>
      <c r="D109" s="65">
        <v>454355</v>
      </c>
      <c r="E109" s="42">
        <v>454355</v>
      </c>
      <c r="F109" s="42">
        <v>0</v>
      </c>
      <c r="G109" s="66">
        <v>0</v>
      </c>
    </row>
    <row r="110" spans="1:7" ht="13.8" x14ac:dyDescent="0.25">
      <c r="A110" s="62"/>
      <c r="B110" s="82"/>
      <c r="C110" s="81" t="s">
        <v>881</v>
      </c>
      <c r="D110" s="65">
        <v>1000</v>
      </c>
      <c r="E110" s="42">
        <v>1000</v>
      </c>
      <c r="F110" s="42">
        <v>0</v>
      </c>
      <c r="G110" s="66">
        <v>0</v>
      </c>
    </row>
    <row r="111" spans="1:7" ht="27.6" x14ac:dyDescent="0.25">
      <c r="A111" s="62"/>
      <c r="B111" s="82"/>
      <c r="C111" s="81" t="s">
        <v>882</v>
      </c>
      <c r="D111" s="65">
        <v>276000</v>
      </c>
      <c r="E111" s="42">
        <v>276000</v>
      </c>
      <c r="F111" s="42">
        <v>0</v>
      </c>
      <c r="G111" s="66">
        <v>0</v>
      </c>
    </row>
    <row r="112" spans="1:7" ht="27.6" x14ac:dyDescent="0.25">
      <c r="A112" s="62"/>
      <c r="B112" s="82"/>
      <c r="C112" s="81" t="s">
        <v>948</v>
      </c>
      <c r="D112" s="65">
        <v>3500</v>
      </c>
      <c r="E112" s="42">
        <v>3500</v>
      </c>
      <c r="F112" s="42">
        <v>0</v>
      </c>
      <c r="G112" s="66">
        <v>0</v>
      </c>
    </row>
    <row r="113" spans="1:7" ht="13.8" x14ac:dyDescent="0.25">
      <c r="A113" s="62"/>
      <c r="B113" s="82"/>
      <c r="C113" s="81" t="s">
        <v>897</v>
      </c>
      <c r="D113" s="65">
        <v>285</v>
      </c>
      <c r="E113" s="42">
        <v>285</v>
      </c>
      <c r="F113" s="42">
        <v>0</v>
      </c>
      <c r="G113" s="66">
        <v>0</v>
      </c>
    </row>
    <row r="114" spans="1:7" ht="13.8" x14ac:dyDescent="0.25">
      <c r="A114" s="62"/>
      <c r="B114" s="82"/>
      <c r="C114" s="81" t="s">
        <v>898</v>
      </c>
      <c r="D114" s="65">
        <v>10000</v>
      </c>
      <c r="E114" s="42">
        <v>10000</v>
      </c>
      <c r="F114" s="42">
        <v>0</v>
      </c>
      <c r="G114" s="66">
        <v>0</v>
      </c>
    </row>
    <row r="115" spans="1:7" ht="13.8" x14ac:dyDescent="0.25">
      <c r="A115" s="62"/>
      <c r="B115" s="82"/>
      <c r="C115" s="81" t="s">
        <v>899</v>
      </c>
      <c r="D115" s="65">
        <v>2245</v>
      </c>
      <c r="E115" s="42">
        <v>2245</v>
      </c>
      <c r="F115" s="42">
        <v>0</v>
      </c>
      <c r="G115" s="66">
        <v>0</v>
      </c>
    </row>
    <row r="116" spans="1:7" ht="13.8" x14ac:dyDescent="0.25">
      <c r="A116" s="62"/>
      <c r="B116" s="82"/>
      <c r="C116" s="81" t="s">
        <v>900</v>
      </c>
      <c r="D116" s="65">
        <v>22000</v>
      </c>
      <c r="E116" s="42">
        <v>0</v>
      </c>
      <c r="F116" s="42">
        <v>22000</v>
      </c>
      <c r="G116" s="66">
        <v>0</v>
      </c>
    </row>
    <row r="117" spans="1:7" ht="13.8" x14ac:dyDescent="0.25">
      <c r="A117" s="62"/>
      <c r="B117" s="82"/>
      <c r="C117" s="81" t="s">
        <v>901</v>
      </c>
      <c r="D117" s="65">
        <v>7198</v>
      </c>
      <c r="E117" s="42">
        <v>7198</v>
      </c>
      <c r="F117" s="42">
        <v>0</v>
      </c>
      <c r="G117" s="66">
        <v>0</v>
      </c>
    </row>
    <row r="118" spans="1:7" ht="13.8" x14ac:dyDescent="0.25">
      <c r="A118" s="62"/>
      <c r="B118" s="82"/>
      <c r="C118" s="81" t="s">
        <v>902</v>
      </c>
      <c r="D118" s="523">
        <v>3100</v>
      </c>
      <c r="E118" s="42">
        <v>3100</v>
      </c>
      <c r="F118" s="42">
        <v>0</v>
      </c>
      <c r="G118" s="66">
        <v>0</v>
      </c>
    </row>
    <row r="119" spans="1:7" ht="13.8" x14ac:dyDescent="0.25">
      <c r="A119" s="62"/>
      <c r="B119" s="82"/>
      <c r="C119" s="81" t="s">
        <v>903</v>
      </c>
      <c r="D119" s="65">
        <v>1000</v>
      </c>
      <c r="E119" s="42">
        <v>1000</v>
      </c>
      <c r="F119" s="42">
        <v>0</v>
      </c>
      <c r="G119" s="66">
        <v>0</v>
      </c>
    </row>
    <row r="120" spans="1:7" ht="13.8" x14ac:dyDescent="0.25">
      <c r="A120" s="62"/>
      <c r="B120" s="82"/>
      <c r="C120" s="81" t="s">
        <v>904</v>
      </c>
      <c r="D120" s="65">
        <v>28409</v>
      </c>
      <c r="E120" s="42">
        <v>0</v>
      </c>
      <c r="F120" s="42">
        <v>28409</v>
      </c>
      <c r="G120" s="66">
        <v>0</v>
      </c>
    </row>
    <row r="121" spans="1:7" ht="13.8" x14ac:dyDescent="0.25">
      <c r="A121" s="75"/>
      <c r="B121" s="69"/>
      <c r="C121" s="81"/>
      <c r="D121" s="87"/>
      <c r="E121" s="88"/>
      <c r="F121" s="88"/>
      <c r="G121" s="89"/>
    </row>
    <row r="122" spans="1:7" ht="14.4" x14ac:dyDescent="0.3">
      <c r="A122" s="75"/>
      <c r="B122" s="69"/>
      <c r="C122" s="83" t="s">
        <v>35</v>
      </c>
      <c r="D122" s="84">
        <f>SUM(D67:D121)</f>
        <v>1450459</v>
      </c>
      <c r="E122" s="85">
        <f>SUM(E67:E121)</f>
        <v>1211450</v>
      </c>
      <c r="F122" s="85">
        <f>SUM(F67:F121)</f>
        <v>239009</v>
      </c>
      <c r="G122" s="86">
        <f>SUM(G67:G121)</f>
        <v>0</v>
      </c>
    </row>
    <row r="123" spans="1:7" x14ac:dyDescent="0.3">
      <c r="A123" s="75"/>
      <c r="B123" s="69"/>
      <c r="C123" s="83"/>
      <c r="D123" s="92"/>
      <c r="E123" s="43"/>
      <c r="F123" s="43"/>
      <c r="G123" s="93"/>
    </row>
    <row r="124" spans="1:7" x14ac:dyDescent="0.3">
      <c r="A124" s="75"/>
      <c r="B124" s="69" t="s">
        <v>9</v>
      </c>
      <c r="C124" s="64" t="s">
        <v>45</v>
      </c>
      <c r="D124" s="92"/>
      <c r="E124" s="43"/>
      <c r="F124" s="43"/>
      <c r="G124" s="93"/>
    </row>
    <row r="125" spans="1:7" ht="13.8" x14ac:dyDescent="0.25">
      <c r="A125" s="94"/>
      <c r="B125" s="69"/>
      <c r="C125" s="81" t="s">
        <v>82</v>
      </c>
      <c r="D125" s="65"/>
      <c r="E125" s="42"/>
      <c r="F125" s="42"/>
      <c r="G125" s="66"/>
    </row>
    <row r="126" spans="1:7" ht="13.8" x14ac:dyDescent="0.25">
      <c r="A126" s="94"/>
      <c r="B126" s="69"/>
      <c r="C126" s="81" t="s">
        <v>83</v>
      </c>
      <c r="D126" s="65">
        <v>3350</v>
      </c>
      <c r="E126" s="42">
        <v>0</v>
      </c>
      <c r="F126" s="42">
        <v>0</v>
      </c>
      <c r="G126" s="66">
        <v>3350</v>
      </c>
    </row>
    <row r="127" spans="1:7" ht="13.8" x14ac:dyDescent="0.25">
      <c r="A127" s="94"/>
      <c r="B127" s="69"/>
      <c r="C127" s="81" t="s">
        <v>157</v>
      </c>
      <c r="D127" s="65">
        <v>2300</v>
      </c>
      <c r="E127" s="42">
        <v>0</v>
      </c>
      <c r="F127" s="42">
        <v>0</v>
      </c>
      <c r="G127" s="66">
        <v>2300</v>
      </c>
    </row>
    <row r="128" spans="1:7" ht="13.8" x14ac:dyDescent="0.25">
      <c r="A128" s="94"/>
      <c r="B128" s="69"/>
      <c r="C128" s="81" t="s">
        <v>158</v>
      </c>
      <c r="D128" s="65">
        <v>2800</v>
      </c>
      <c r="E128" s="42">
        <v>0</v>
      </c>
      <c r="F128" s="42">
        <v>0</v>
      </c>
      <c r="G128" s="66">
        <v>2800</v>
      </c>
    </row>
    <row r="129" spans="1:7" ht="13.8" x14ac:dyDescent="0.25">
      <c r="A129" s="94"/>
      <c r="B129" s="69"/>
      <c r="C129" s="81" t="s">
        <v>159</v>
      </c>
      <c r="D129" s="65">
        <v>1600</v>
      </c>
      <c r="E129" s="42">
        <v>0</v>
      </c>
      <c r="F129" s="42">
        <v>0</v>
      </c>
      <c r="G129" s="66">
        <v>1600</v>
      </c>
    </row>
    <row r="130" spans="1:7" ht="13.8" x14ac:dyDescent="0.25">
      <c r="A130" s="94"/>
      <c r="B130" s="69"/>
      <c r="C130" s="81" t="s">
        <v>160</v>
      </c>
      <c r="D130" s="65">
        <v>1800</v>
      </c>
      <c r="E130" s="42">
        <v>0</v>
      </c>
      <c r="F130" s="42">
        <v>0</v>
      </c>
      <c r="G130" s="66">
        <v>1800</v>
      </c>
    </row>
    <row r="131" spans="1:7" ht="13.8" x14ac:dyDescent="0.25">
      <c r="A131" s="94"/>
      <c r="B131" s="69"/>
      <c r="C131" s="81" t="s">
        <v>161</v>
      </c>
      <c r="D131" s="65">
        <v>600</v>
      </c>
      <c r="E131" s="42">
        <v>0</v>
      </c>
      <c r="F131" s="42">
        <v>0</v>
      </c>
      <c r="G131" s="66">
        <v>600</v>
      </c>
    </row>
    <row r="132" spans="1:7" ht="13.8" x14ac:dyDescent="0.25">
      <c r="A132" s="94"/>
      <c r="B132" s="63"/>
      <c r="C132" s="91" t="s">
        <v>194</v>
      </c>
      <c r="D132" s="65">
        <v>150</v>
      </c>
      <c r="E132" s="42">
        <v>0</v>
      </c>
      <c r="F132" s="42">
        <v>0</v>
      </c>
      <c r="G132" s="66">
        <v>150</v>
      </c>
    </row>
    <row r="133" spans="1:7" ht="13.8" x14ac:dyDescent="0.25">
      <c r="A133" s="62"/>
      <c r="B133" s="82"/>
      <c r="C133" s="64" t="s">
        <v>84</v>
      </c>
      <c r="D133" s="65">
        <v>2100</v>
      </c>
      <c r="E133" s="42">
        <v>0</v>
      </c>
      <c r="F133" s="42">
        <v>0</v>
      </c>
      <c r="G133" s="66">
        <v>2100</v>
      </c>
    </row>
    <row r="134" spans="1:7" ht="13.8" x14ac:dyDescent="0.25">
      <c r="A134" s="62"/>
      <c r="B134" s="82"/>
      <c r="C134" s="64" t="s">
        <v>85</v>
      </c>
      <c r="D134" s="65">
        <v>300</v>
      </c>
      <c r="E134" s="42">
        <v>0</v>
      </c>
      <c r="F134" s="42">
        <v>0</v>
      </c>
      <c r="G134" s="66">
        <v>300</v>
      </c>
    </row>
    <row r="135" spans="1:7" ht="13.8" x14ac:dyDescent="0.25">
      <c r="A135" s="94"/>
      <c r="B135" s="69"/>
      <c r="C135" s="81"/>
      <c r="D135" s="65"/>
      <c r="E135" s="42"/>
      <c r="F135" s="42"/>
      <c r="G135" s="66"/>
    </row>
    <row r="136" spans="1:7" ht="14.4" x14ac:dyDescent="0.3">
      <c r="A136" s="75"/>
      <c r="B136" s="95"/>
      <c r="C136" s="83" t="s">
        <v>36</v>
      </c>
      <c r="D136" s="84">
        <f>SUM(D125:D135)</f>
        <v>15000</v>
      </c>
      <c r="E136" s="85">
        <f>SUM(E125:E135)</f>
        <v>0</v>
      </c>
      <c r="F136" s="85">
        <f>SUM(F125:F135)</f>
        <v>0</v>
      </c>
      <c r="G136" s="86">
        <f>SUM(G125:G135)</f>
        <v>15000</v>
      </c>
    </row>
    <row r="137" spans="1:7" x14ac:dyDescent="0.3">
      <c r="A137" s="75"/>
      <c r="B137" s="69"/>
      <c r="C137" s="83"/>
      <c r="D137" s="92"/>
      <c r="E137" s="43"/>
      <c r="F137" s="43"/>
      <c r="G137" s="93"/>
    </row>
    <row r="138" spans="1:7" x14ac:dyDescent="0.3">
      <c r="A138" s="75"/>
      <c r="B138" s="69" t="s">
        <v>15</v>
      </c>
      <c r="C138" s="64" t="s">
        <v>46</v>
      </c>
      <c r="D138" s="92"/>
      <c r="E138" s="43"/>
      <c r="F138" s="43"/>
      <c r="G138" s="93"/>
    </row>
    <row r="139" spans="1:7" x14ac:dyDescent="0.3">
      <c r="A139" s="75"/>
      <c r="B139" s="69"/>
      <c r="C139" s="64" t="s">
        <v>50</v>
      </c>
      <c r="D139" s="92"/>
      <c r="E139" s="43"/>
      <c r="F139" s="43"/>
      <c r="G139" s="93"/>
    </row>
    <row r="140" spans="1:7" ht="27.6" x14ac:dyDescent="0.25">
      <c r="A140" s="62"/>
      <c r="B140" s="82"/>
      <c r="C140" s="81" t="s">
        <v>162</v>
      </c>
      <c r="D140" s="65">
        <v>469740</v>
      </c>
      <c r="E140" s="42">
        <v>344740</v>
      </c>
      <c r="F140" s="524">
        <v>125000</v>
      </c>
      <c r="G140" s="525">
        <v>0</v>
      </c>
    </row>
    <row r="141" spans="1:7" ht="13.8" x14ac:dyDescent="0.25">
      <c r="A141" s="62"/>
      <c r="B141" s="82"/>
      <c r="C141" s="64" t="s">
        <v>163</v>
      </c>
      <c r="D141" s="65">
        <v>1500</v>
      </c>
      <c r="E141" s="42">
        <v>0</v>
      </c>
      <c r="F141" s="42">
        <v>1500</v>
      </c>
      <c r="G141" s="66">
        <v>0</v>
      </c>
    </row>
    <row r="142" spans="1:7" ht="13.8" x14ac:dyDescent="0.25">
      <c r="A142" s="62"/>
      <c r="B142" s="82"/>
      <c r="C142" s="64" t="s">
        <v>180</v>
      </c>
      <c r="D142" s="65">
        <v>2000</v>
      </c>
      <c r="E142" s="42">
        <v>2000</v>
      </c>
      <c r="F142" s="42">
        <v>0</v>
      </c>
      <c r="G142" s="66">
        <v>0</v>
      </c>
    </row>
    <row r="143" spans="1:7" ht="13.8" x14ac:dyDescent="0.25">
      <c r="A143" s="62"/>
      <c r="B143" s="82"/>
      <c r="C143" s="64" t="s">
        <v>164</v>
      </c>
      <c r="D143" s="65">
        <v>5000</v>
      </c>
      <c r="E143" s="42">
        <v>0</v>
      </c>
      <c r="F143" s="42">
        <v>5000</v>
      </c>
      <c r="G143" s="66">
        <v>0</v>
      </c>
    </row>
    <row r="144" spans="1:7" ht="13.8" x14ac:dyDescent="0.25">
      <c r="A144" s="62"/>
      <c r="B144" s="82"/>
      <c r="C144" s="64" t="s">
        <v>195</v>
      </c>
      <c r="D144" s="65">
        <v>859</v>
      </c>
      <c r="E144" s="42">
        <v>859</v>
      </c>
      <c r="F144" s="42">
        <v>0</v>
      </c>
      <c r="G144" s="66">
        <v>0</v>
      </c>
    </row>
    <row r="145" spans="1:7" ht="13.8" x14ac:dyDescent="0.25">
      <c r="A145" s="75"/>
      <c r="B145" s="69"/>
      <c r="C145" s="81"/>
      <c r="D145" s="87"/>
      <c r="E145" s="88"/>
      <c r="F145" s="88"/>
      <c r="G145" s="89"/>
    </row>
    <row r="146" spans="1:7" ht="14.4" x14ac:dyDescent="0.3">
      <c r="A146" s="75"/>
      <c r="B146" s="69"/>
      <c r="C146" s="71" t="s">
        <v>23</v>
      </c>
      <c r="D146" s="84">
        <f>SUM(D140:D145)</f>
        <v>479099</v>
      </c>
      <c r="E146" s="85">
        <f>SUM(E140:E145)</f>
        <v>347599</v>
      </c>
      <c r="F146" s="85">
        <f>SUM(F140:F145)</f>
        <v>131500</v>
      </c>
      <c r="G146" s="86">
        <f>SUM(G140:G145)</f>
        <v>0</v>
      </c>
    </row>
    <row r="147" spans="1:7" x14ac:dyDescent="0.3">
      <c r="A147" s="75"/>
      <c r="B147" s="69"/>
      <c r="C147" s="71"/>
      <c r="D147" s="92"/>
      <c r="E147" s="43"/>
      <c r="F147" s="43"/>
      <c r="G147" s="93"/>
    </row>
    <row r="148" spans="1:7" x14ac:dyDescent="0.3">
      <c r="A148" s="75"/>
      <c r="B148" s="69"/>
      <c r="C148" s="64" t="s">
        <v>51</v>
      </c>
      <c r="D148" s="92"/>
      <c r="E148" s="43"/>
      <c r="F148" s="43"/>
      <c r="G148" s="93"/>
    </row>
    <row r="149" spans="1:7" ht="13.8" x14ac:dyDescent="0.25">
      <c r="A149" s="75"/>
      <c r="B149" s="69"/>
      <c r="C149" s="64" t="s">
        <v>136</v>
      </c>
      <c r="D149" s="65">
        <v>1000</v>
      </c>
      <c r="E149" s="42">
        <v>1000</v>
      </c>
      <c r="F149" s="42">
        <v>0</v>
      </c>
      <c r="G149" s="68">
        <v>0</v>
      </c>
    </row>
    <row r="150" spans="1:7" ht="13.8" x14ac:dyDescent="0.25">
      <c r="A150" s="62"/>
      <c r="B150" s="82"/>
      <c r="C150" s="64" t="s">
        <v>137</v>
      </c>
      <c r="D150" s="65">
        <v>50000</v>
      </c>
      <c r="E150" s="42"/>
      <c r="F150" s="42">
        <v>50000</v>
      </c>
      <c r="G150" s="66"/>
    </row>
    <row r="151" spans="1:7" ht="13.8" x14ac:dyDescent="0.25">
      <c r="A151" s="75"/>
      <c r="B151" s="69"/>
      <c r="C151" s="64" t="s">
        <v>283</v>
      </c>
      <c r="D151" s="65">
        <v>2500</v>
      </c>
      <c r="E151" s="42">
        <v>2500</v>
      </c>
      <c r="F151" s="42">
        <v>0</v>
      </c>
      <c r="G151" s="66">
        <v>0</v>
      </c>
    </row>
    <row r="152" spans="1:7" ht="13.8" x14ac:dyDescent="0.25">
      <c r="A152" s="75"/>
      <c r="B152" s="69"/>
      <c r="C152" s="81" t="s">
        <v>284</v>
      </c>
      <c r="D152" s="87">
        <v>5000</v>
      </c>
      <c r="E152" s="88"/>
      <c r="F152" s="88">
        <v>5000</v>
      </c>
      <c r="G152" s="89"/>
    </row>
    <row r="153" spans="1:7" ht="13.8" x14ac:dyDescent="0.25">
      <c r="A153" s="76"/>
      <c r="B153" s="69"/>
      <c r="C153" s="81" t="s">
        <v>285</v>
      </c>
      <c r="D153" s="87">
        <v>1000</v>
      </c>
      <c r="E153" s="88">
        <v>0</v>
      </c>
      <c r="F153" s="88">
        <v>1000</v>
      </c>
      <c r="G153" s="89">
        <v>0</v>
      </c>
    </row>
    <row r="154" spans="1:7" ht="13.8" x14ac:dyDescent="0.25">
      <c r="A154" s="75"/>
      <c r="B154" s="69"/>
      <c r="C154" s="81" t="s">
        <v>286</v>
      </c>
      <c r="D154" s="87">
        <v>600</v>
      </c>
      <c r="E154" s="88">
        <v>0</v>
      </c>
      <c r="F154" s="88">
        <v>600</v>
      </c>
      <c r="G154" s="89">
        <v>0</v>
      </c>
    </row>
    <row r="155" spans="1:7" ht="13.8" x14ac:dyDescent="0.25">
      <c r="A155" s="75"/>
      <c r="B155" s="69"/>
      <c r="C155" s="81" t="s">
        <v>287</v>
      </c>
      <c r="D155" s="87">
        <v>1600</v>
      </c>
      <c r="E155" s="88"/>
      <c r="F155" s="88">
        <v>1600</v>
      </c>
      <c r="G155" s="89"/>
    </row>
    <row r="156" spans="1:7" ht="13.8" x14ac:dyDescent="0.25">
      <c r="A156" s="62"/>
      <c r="B156" s="82"/>
      <c r="C156" s="64" t="s">
        <v>288</v>
      </c>
      <c r="D156" s="65">
        <v>1000</v>
      </c>
      <c r="E156" s="42">
        <v>0</v>
      </c>
      <c r="F156" s="42">
        <v>1000</v>
      </c>
      <c r="G156" s="66">
        <v>0</v>
      </c>
    </row>
    <row r="157" spans="1:7" ht="13.8" x14ac:dyDescent="0.25">
      <c r="A157" s="75"/>
      <c r="B157" s="69"/>
      <c r="C157" s="96" t="s">
        <v>289</v>
      </c>
      <c r="D157" s="87">
        <v>1500</v>
      </c>
      <c r="E157" s="88">
        <v>1500</v>
      </c>
      <c r="F157" s="88">
        <v>0</v>
      </c>
      <c r="G157" s="89">
        <v>0</v>
      </c>
    </row>
    <row r="158" spans="1:7" ht="27.6" x14ac:dyDescent="0.25">
      <c r="A158" s="75"/>
      <c r="B158" s="69"/>
      <c r="C158" s="91" t="s">
        <v>290</v>
      </c>
      <c r="D158" s="87">
        <v>6000</v>
      </c>
      <c r="E158" s="88">
        <v>6000</v>
      </c>
      <c r="F158" s="88">
        <v>0</v>
      </c>
      <c r="G158" s="89">
        <v>0</v>
      </c>
    </row>
    <row r="159" spans="1:7" ht="13.8" x14ac:dyDescent="0.25">
      <c r="A159" s="75"/>
      <c r="B159" s="69"/>
      <c r="C159" s="91"/>
      <c r="D159" s="87"/>
      <c r="E159" s="88"/>
      <c r="F159" s="88"/>
      <c r="G159" s="89"/>
    </row>
    <row r="160" spans="1:7" ht="14.4" x14ac:dyDescent="0.3">
      <c r="A160" s="75"/>
      <c r="B160" s="69"/>
      <c r="C160" s="71" t="s">
        <v>23</v>
      </c>
      <c r="D160" s="84">
        <f>SUM(D149:D159)</f>
        <v>70200</v>
      </c>
      <c r="E160" s="85">
        <f>SUM(E149:E159)</f>
        <v>11000</v>
      </c>
      <c r="F160" s="85">
        <f>SUM(F149:F159)</f>
        <v>59200</v>
      </c>
      <c r="G160" s="86">
        <f>SUM(G149:G159)</f>
        <v>0</v>
      </c>
    </row>
    <row r="161" spans="1:7" x14ac:dyDescent="0.3">
      <c r="A161" s="75"/>
      <c r="B161" s="69"/>
      <c r="C161" s="83"/>
      <c r="D161" s="92"/>
      <c r="E161" s="43"/>
      <c r="F161" s="43"/>
      <c r="G161" s="93"/>
    </row>
    <row r="162" spans="1:7" x14ac:dyDescent="0.3">
      <c r="A162" s="62"/>
      <c r="B162" s="95"/>
      <c r="C162" s="64" t="s">
        <v>62</v>
      </c>
      <c r="D162" s="92"/>
      <c r="E162" s="43"/>
      <c r="F162" s="43"/>
      <c r="G162" s="93"/>
    </row>
    <row r="163" spans="1:7" ht="14.4" x14ac:dyDescent="0.3">
      <c r="A163" s="62"/>
      <c r="B163" s="95"/>
      <c r="C163" s="81"/>
      <c r="D163" s="87"/>
      <c r="E163" s="88"/>
      <c r="F163" s="88"/>
      <c r="G163" s="89"/>
    </row>
    <row r="164" spans="1:7" ht="14.4" x14ac:dyDescent="0.3">
      <c r="A164" s="62"/>
      <c r="B164" s="69"/>
      <c r="C164" s="71" t="s">
        <v>23</v>
      </c>
      <c r="D164" s="84">
        <f t="shared" ref="D164:G164" si="8">SUM(D163:D163)</f>
        <v>0</v>
      </c>
      <c r="E164" s="85">
        <f t="shared" si="8"/>
        <v>0</v>
      </c>
      <c r="F164" s="85">
        <f t="shared" si="8"/>
        <v>0</v>
      </c>
      <c r="G164" s="86">
        <f t="shared" si="8"/>
        <v>0</v>
      </c>
    </row>
    <row r="165" spans="1:7" x14ac:dyDescent="0.3">
      <c r="A165" s="62"/>
      <c r="B165" s="69"/>
      <c r="C165" s="83"/>
      <c r="D165" s="92"/>
      <c r="E165" s="43"/>
      <c r="F165" s="43"/>
      <c r="G165" s="93"/>
    </row>
    <row r="166" spans="1:7" ht="14.4" x14ac:dyDescent="0.3">
      <c r="A166" s="62"/>
      <c r="B166" s="95"/>
      <c r="C166" s="64" t="s">
        <v>54</v>
      </c>
      <c r="D166" s="65">
        <v>5000</v>
      </c>
      <c r="E166" s="42">
        <v>5000</v>
      </c>
      <c r="F166" s="42">
        <v>0</v>
      </c>
      <c r="G166" s="66">
        <v>0</v>
      </c>
    </row>
    <row r="167" spans="1:7" ht="14.4" x14ac:dyDescent="0.3">
      <c r="A167" s="62"/>
      <c r="B167" s="95"/>
      <c r="C167" s="64"/>
      <c r="D167" s="65"/>
      <c r="E167" s="42"/>
      <c r="F167" s="42"/>
      <c r="G167" s="66"/>
    </row>
    <row r="168" spans="1:7" ht="13.8" x14ac:dyDescent="0.25">
      <c r="A168" s="62"/>
      <c r="B168" s="69"/>
      <c r="C168" s="64" t="s">
        <v>154</v>
      </c>
      <c r="D168" s="65"/>
      <c r="E168" s="42"/>
      <c r="F168" s="42"/>
      <c r="G168" s="66"/>
    </row>
    <row r="169" spans="1:7" ht="13.8" x14ac:dyDescent="0.25">
      <c r="A169" s="62"/>
      <c r="B169" s="69"/>
      <c r="C169" s="64" t="s">
        <v>949</v>
      </c>
      <c r="D169" s="65">
        <v>1004</v>
      </c>
      <c r="E169" s="42">
        <v>1004</v>
      </c>
      <c r="F169" s="42">
        <v>0</v>
      </c>
      <c r="G169" s="66">
        <v>0</v>
      </c>
    </row>
    <row r="170" spans="1:7" ht="13.8" x14ac:dyDescent="0.25">
      <c r="A170" s="62"/>
      <c r="B170" s="69"/>
      <c r="C170" s="64"/>
      <c r="D170" s="65"/>
      <c r="E170" s="42"/>
      <c r="F170" s="42"/>
      <c r="G170" s="66"/>
    </row>
    <row r="171" spans="1:7" ht="27.6" x14ac:dyDescent="0.25">
      <c r="A171" s="62"/>
      <c r="B171" s="69"/>
      <c r="C171" s="81" t="s">
        <v>202</v>
      </c>
      <c r="D171" s="65">
        <v>0</v>
      </c>
      <c r="E171" s="42">
        <v>0</v>
      </c>
      <c r="F171" s="42">
        <v>0</v>
      </c>
      <c r="G171" s="66">
        <v>0</v>
      </c>
    </row>
    <row r="172" spans="1:7" ht="13.8" x14ac:dyDescent="0.25">
      <c r="A172" s="62"/>
      <c r="B172" s="69"/>
      <c r="C172" s="64"/>
      <c r="D172" s="65"/>
      <c r="E172" s="42"/>
      <c r="F172" s="42"/>
      <c r="G172" s="66"/>
    </row>
    <row r="173" spans="1:7" ht="13.8" x14ac:dyDescent="0.25">
      <c r="A173" s="62"/>
      <c r="B173" s="69"/>
      <c r="C173" s="64" t="s">
        <v>205</v>
      </c>
      <c r="D173" s="65">
        <v>16505</v>
      </c>
      <c r="E173" s="42">
        <v>16505</v>
      </c>
      <c r="F173" s="42">
        <v>0</v>
      </c>
      <c r="G173" s="66">
        <v>0</v>
      </c>
    </row>
    <row r="174" spans="1:7" ht="13.8" x14ac:dyDescent="0.25">
      <c r="A174" s="62"/>
      <c r="B174" s="69"/>
      <c r="C174" s="64"/>
      <c r="D174" s="65"/>
      <c r="E174" s="42"/>
      <c r="F174" s="42"/>
      <c r="G174" s="66"/>
    </row>
    <row r="175" spans="1:7" ht="13.8" x14ac:dyDescent="0.25">
      <c r="A175" s="62"/>
      <c r="B175" s="69"/>
      <c r="C175" s="64"/>
      <c r="D175" s="65"/>
      <c r="E175" s="42"/>
      <c r="F175" s="42"/>
      <c r="G175" s="66"/>
    </row>
    <row r="176" spans="1:7" ht="14.4" x14ac:dyDescent="0.3">
      <c r="A176" s="62"/>
      <c r="B176" s="69"/>
      <c r="C176" s="83" t="s">
        <v>53</v>
      </c>
      <c r="D176" s="84">
        <f>D146+D160+D164+D166+D169+D173</f>
        <v>571808</v>
      </c>
      <c r="E176" s="85">
        <f>E146+E160+E164+E166+E169+E173</f>
        <v>381108</v>
      </c>
      <c r="F176" s="85">
        <f>F146+F160+F164+F166+F169+F173</f>
        <v>190700</v>
      </c>
      <c r="G176" s="86">
        <f>G146+G160+G164+G166+G169+G173</f>
        <v>0</v>
      </c>
    </row>
    <row r="177" spans="1:7" x14ac:dyDescent="0.3">
      <c r="A177" s="75"/>
      <c r="B177" s="69"/>
      <c r="C177" s="83"/>
      <c r="D177" s="92"/>
      <c r="E177" s="43"/>
      <c r="F177" s="43"/>
      <c r="G177" s="93"/>
    </row>
    <row r="178" spans="1:7" x14ac:dyDescent="0.3">
      <c r="A178" s="75"/>
      <c r="B178" s="69" t="s">
        <v>18</v>
      </c>
      <c r="C178" s="64" t="s">
        <v>47</v>
      </c>
      <c r="D178" s="92"/>
      <c r="E178" s="43"/>
      <c r="F178" s="43"/>
      <c r="G178" s="93"/>
    </row>
    <row r="179" spans="1:7" ht="13.8" x14ac:dyDescent="0.25">
      <c r="A179" s="75"/>
      <c r="B179" s="69"/>
      <c r="C179" s="91" t="s">
        <v>247</v>
      </c>
      <c r="D179" s="65">
        <v>4400</v>
      </c>
      <c r="E179" s="42">
        <v>4400</v>
      </c>
      <c r="F179" s="42">
        <v>0</v>
      </c>
      <c r="G179" s="66">
        <v>0</v>
      </c>
    </row>
    <row r="180" spans="1:7" ht="13.8" x14ac:dyDescent="0.25">
      <c r="A180" s="75"/>
      <c r="B180" s="69"/>
      <c r="C180" s="81" t="s">
        <v>280</v>
      </c>
      <c r="D180" s="65">
        <v>15000</v>
      </c>
      <c r="E180" s="42">
        <v>15000</v>
      </c>
      <c r="F180" s="42">
        <v>0</v>
      </c>
      <c r="G180" s="66">
        <v>0</v>
      </c>
    </row>
    <row r="181" spans="1:7" ht="13.8" x14ac:dyDescent="0.25">
      <c r="A181" s="75"/>
      <c r="B181" s="69"/>
      <c r="C181" s="81" t="s">
        <v>281</v>
      </c>
      <c r="D181" s="65">
        <v>2200</v>
      </c>
      <c r="E181" s="42">
        <v>0</v>
      </c>
      <c r="F181" s="42">
        <v>2200</v>
      </c>
      <c r="G181" s="66">
        <v>0</v>
      </c>
    </row>
    <row r="182" spans="1:7" ht="27.6" x14ac:dyDescent="0.25">
      <c r="A182" s="75"/>
      <c r="B182" s="69"/>
      <c r="C182" s="81" t="s">
        <v>905</v>
      </c>
      <c r="D182" s="87">
        <v>47700</v>
      </c>
      <c r="E182" s="88">
        <v>47700</v>
      </c>
      <c r="F182" s="88">
        <v>0</v>
      </c>
      <c r="G182" s="89">
        <v>0</v>
      </c>
    </row>
    <row r="183" spans="1:7" ht="13.8" x14ac:dyDescent="0.25">
      <c r="A183" s="75"/>
      <c r="B183" s="69"/>
      <c r="C183" s="81" t="s">
        <v>906</v>
      </c>
      <c r="D183" s="87">
        <v>60921</v>
      </c>
      <c r="E183" s="88">
        <v>60921</v>
      </c>
      <c r="F183" s="88">
        <v>0</v>
      </c>
      <c r="G183" s="89">
        <v>0</v>
      </c>
    </row>
    <row r="184" spans="1:7" ht="13.8" x14ac:dyDescent="0.25">
      <c r="A184" s="75"/>
      <c r="B184" s="69"/>
      <c r="C184" s="64" t="s">
        <v>907</v>
      </c>
      <c r="D184" s="65">
        <v>109276</v>
      </c>
      <c r="E184" s="42">
        <v>109276</v>
      </c>
      <c r="F184" s="42">
        <v>0</v>
      </c>
      <c r="G184" s="66">
        <v>0</v>
      </c>
    </row>
    <row r="185" spans="1:7" ht="27.6" x14ac:dyDescent="0.25">
      <c r="A185" s="62"/>
      <c r="B185" s="82"/>
      <c r="C185" s="91" t="s">
        <v>908</v>
      </c>
      <c r="D185" s="65">
        <v>238735</v>
      </c>
      <c r="E185" s="42">
        <v>238735</v>
      </c>
      <c r="F185" s="42">
        <v>0</v>
      </c>
      <c r="G185" s="66">
        <v>0</v>
      </c>
    </row>
    <row r="186" spans="1:7" ht="13.8" x14ac:dyDescent="0.25">
      <c r="A186" s="62"/>
      <c r="B186" s="82"/>
      <c r="C186" s="64" t="s">
        <v>909</v>
      </c>
      <c r="D186" s="65">
        <v>5200</v>
      </c>
      <c r="E186" s="42">
        <v>5200</v>
      </c>
      <c r="F186" s="42">
        <v>0</v>
      </c>
      <c r="G186" s="66">
        <v>0</v>
      </c>
    </row>
    <row r="187" spans="1:7" ht="13.8" x14ac:dyDescent="0.25">
      <c r="A187" s="62"/>
      <c r="B187" s="82"/>
      <c r="C187" s="81" t="s">
        <v>910</v>
      </c>
      <c r="D187" s="65">
        <v>123531</v>
      </c>
      <c r="E187" s="42">
        <v>123531</v>
      </c>
      <c r="F187" s="42">
        <v>0</v>
      </c>
      <c r="G187" s="66">
        <v>0</v>
      </c>
    </row>
    <row r="188" spans="1:7" ht="13.8" x14ac:dyDescent="0.25">
      <c r="A188" s="62"/>
      <c r="B188" s="82"/>
      <c r="C188" s="81" t="s">
        <v>911</v>
      </c>
      <c r="D188" s="65">
        <v>15000</v>
      </c>
      <c r="E188" s="42">
        <v>15000</v>
      </c>
      <c r="F188" s="42">
        <v>0</v>
      </c>
      <c r="G188" s="66">
        <v>0</v>
      </c>
    </row>
    <row r="189" spans="1:7" ht="13.8" x14ac:dyDescent="0.25">
      <c r="A189" s="62"/>
      <c r="B189" s="82"/>
      <c r="C189" s="91" t="s">
        <v>912</v>
      </c>
      <c r="D189" s="65">
        <v>6500</v>
      </c>
      <c r="E189" s="42">
        <v>6500</v>
      </c>
      <c r="F189" s="42">
        <v>0</v>
      </c>
      <c r="G189" s="66">
        <v>0</v>
      </c>
    </row>
    <row r="190" spans="1:7" ht="13.8" x14ac:dyDescent="0.25">
      <c r="A190" s="62"/>
      <c r="B190" s="82"/>
      <c r="C190" s="96" t="s">
        <v>913</v>
      </c>
      <c r="D190" s="65">
        <v>1000</v>
      </c>
      <c r="E190" s="42">
        <v>1000</v>
      </c>
      <c r="F190" s="42"/>
      <c r="G190" s="66"/>
    </row>
    <row r="191" spans="1:7" ht="13.8" x14ac:dyDescent="0.25">
      <c r="A191" s="62"/>
      <c r="B191" s="82"/>
      <c r="C191" s="91" t="s">
        <v>914</v>
      </c>
      <c r="D191" s="65">
        <v>4900</v>
      </c>
      <c r="E191" s="42">
        <v>4900</v>
      </c>
      <c r="F191" s="42">
        <v>0</v>
      </c>
      <c r="G191" s="66">
        <v>0</v>
      </c>
    </row>
    <row r="192" spans="1:7" ht="13.8" x14ac:dyDescent="0.25">
      <c r="A192" s="62"/>
      <c r="B192" s="82"/>
      <c r="C192" s="91" t="s">
        <v>915</v>
      </c>
      <c r="D192" s="65">
        <v>27500</v>
      </c>
      <c r="E192" s="42">
        <v>27500</v>
      </c>
      <c r="F192" s="42"/>
      <c r="G192" s="66"/>
    </row>
    <row r="193" spans="1:7" ht="13.8" x14ac:dyDescent="0.25">
      <c r="A193" s="75"/>
      <c r="B193" s="69"/>
      <c r="C193" s="81"/>
      <c r="D193" s="87"/>
      <c r="E193" s="88"/>
      <c r="F193" s="88"/>
      <c r="G193" s="89"/>
    </row>
    <row r="194" spans="1:7" ht="14.4" x14ac:dyDescent="0.3">
      <c r="A194" s="75"/>
      <c r="B194" s="69"/>
      <c r="C194" s="83" t="s">
        <v>37</v>
      </c>
      <c r="D194" s="84">
        <f>SUM(D179:D193)</f>
        <v>661863</v>
      </c>
      <c r="E194" s="85">
        <f>SUM(E179:E193)</f>
        <v>659663</v>
      </c>
      <c r="F194" s="85">
        <f>SUM(F179:F193)</f>
        <v>2200</v>
      </c>
      <c r="G194" s="86">
        <f>SUM(G179:G193)</f>
        <v>0</v>
      </c>
    </row>
    <row r="195" spans="1:7" x14ac:dyDescent="0.3">
      <c r="A195" s="75"/>
      <c r="B195" s="69"/>
      <c r="C195" s="83"/>
      <c r="D195" s="92"/>
      <c r="E195" s="43"/>
      <c r="F195" s="43"/>
      <c r="G195" s="93"/>
    </row>
    <row r="196" spans="1:7" x14ac:dyDescent="0.3">
      <c r="A196" s="75"/>
      <c r="B196" s="69" t="s">
        <v>20</v>
      </c>
      <c r="C196" s="64" t="s">
        <v>19</v>
      </c>
      <c r="D196" s="92"/>
      <c r="E196" s="43"/>
      <c r="F196" s="43"/>
      <c r="G196" s="93"/>
    </row>
    <row r="197" spans="1:7" ht="27.6" x14ac:dyDescent="0.25">
      <c r="A197" s="75"/>
      <c r="B197" s="69"/>
      <c r="C197" s="81" t="s">
        <v>883</v>
      </c>
      <c r="D197" s="65">
        <v>95191</v>
      </c>
      <c r="E197" s="42">
        <v>95191</v>
      </c>
      <c r="F197" s="42">
        <v>0</v>
      </c>
      <c r="G197" s="66">
        <v>0</v>
      </c>
    </row>
    <row r="198" spans="1:7" ht="13.8" x14ac:dyDescent="0.25">
      <c r="A198" s="75"/>
      <c r="B198" s="69"/>
      <c r="C198" s="91" t="s">
        <v>916</v>
      </c>
      <c r="D198" s="65">
        <v>117870</v>
      </c>
      <c r="E198" s="42">
        <v>117870</v>
      </c>
      <c r="F198" s="42">
        <v>0</v>
      </c>
      <c r="G198" s="66">
        <v>0</v>
      </c>
    </row>
    <row r="199" spans="1:7" ht="13.8" x14ac:dyDescent="0.25">
      <c r="A199" s="75"/>
      <c r="B199" s="69"/>
      <c r="C199" s="81" t="s">
        <v>917</v>
      </c>
      <c r="D199" s="65">
        <v>50000</v>
      </c>
      <c r="E199" s="42">
        <v>50000</v>
      </c>
      <c r="F199" s="42">
        <v>0</v>
      </c>
      <c r="G199" s="66">
        <v>0</v>
      </c>
    </row>
    <row r="200" spans="1:7" ht="27.6" x14ac:dyDescent="0.25">
      <c r="A200" s="75"/>
      <c r="B200" s="69"/>
      <c r="C200" s="91" t="s">
        <v>918</v>
      </c>
      <c r="D200" s="65">
        <v>365966</v>
      </c>
      <c r="E200" s="42">
        <v>365966</v>
      </c>
      <c r="F200" s="42">
        <v>0</v>
      </c>
      <c r="G200" s="66">
        <v>0</v>
      </c>
    </row>
    <row r="201" spans="1:7" ht="27.6" x14ac:dyDescent="0.25">
      <c r="A201" s="75"/>
      <c r="B201" s="69"/>
      <c r="C201" s="91" t="s">
        <v>919</v>
      </c>
      <c r="D201" s="65">
        <v>365966</v>
      </c>
      <c r="E201" s="42">
        <v>365966</v>
      </c>
      <c r="F201" s="42">
        <v>0</v>
      </c>
      <c r="G201" s="66">
        <v>0</v>
      </c>
    </row>
    <row r="202" spans="1:7" ht="27.6" x14ac:dyDescent="0.25">
      <c r="A202" s="75"/>
      <c r="B202" s="69"/>
      <c r="C202" s="91" t="s">
        <v>920</v>
      </c>
      <c r="D202" s="65">
        <v>363426</v>
      </c>
      <c r="E202" s="42">
        <v>363426</v>
      </c>
      <c r="F202" s="42">
        <v>0</v>
      </c>
      <c r="G202" s="66">
        <v>0</v>
      </c>
    </row>
    <row r="203" spans="1:7" ht="13.8" x14ac:dyDescent="0.25">
      <c r="A203" s="75"/>
      <c r="B203" s="69"/>
      <c r="C203" s="91" t="s">
        <v>921</v>
      </c>
      <c r="D203" s="65"/>
      <c r="E203" s="42"/>
      <c r="F203" s="42"/>
      <c r="G203" s="66"/>
    </row>
    <row r="204" spans="1:7" ht="13.8" x14ac:dyDescent="0.25">
      <c r="A204" s="75"/>
      <c r="B204" s="69"/>
      <c r="C204" s="91"/>
      <c r="D204" s="65"/>
      <c r="E204" s="42"/>
      <c r="F204" s="42"/>
      <c r="G204" s="66"/>
    </row>
    <row r="205" spans="1:7" ht="14.4" x14ac:dyDescent="0.3">
      <c r="A205" s="75"/>
      <c r="B205" s="69"/>
      <c r="C205" s="83" t="s">
        <v>38</v>
      </c>
      <c r="D205" s="84">
        <f>SUM(D197:D204)</f>
        <v>1358419</v>
      </c>
      <c r="E205" s="85">
        <f>SUM(E197:E204)</f>
        <v>1358419</v>
      </c>
      <c r="F205" s="85">
        <f>SUM(F197:F204)</f>
        <v>0</v>
      </c>
      <c r="G205" s="86">
        <f>SUM(G197:G204)</f>
        <v>0</v>
      </c>
    </row>
    <row r="206" spans="1:7" ht="14.4" x14ac:dyDescent="0.3">
      <c r="A206" s="75"/>
      <c r="B206" s="95"/>
      <c r="C206" s="83"/>
      <c r="D206" s="65"/>
      <c r="E206" s="42"/>
      <c r="F206" s="42"/>
      <c r="G206" s="66"/>
    </row>
    <row r="207" spans="1:7" ht="13.8" x14ac:dyDescent="0.25">
      <c r="A207" s="75"/>
      <c r="B207" s="69" t="s">
        <v>28</v>
      </c>
      <c r="C207" s="64" t="s">
        <v>48</v>
      </c>
      <c r="D207" s="65"/>
      <c r="E207" s="42"/>
      <c r="F207" s="42"/>
      <c r="G207" s="66"/>
    </row>
    <row r="208" spans="1:7" ht="13.8" x14ac:dyDescent="0.25">
      <c r="A208" s="75"/>
      <c r="B208" s="69"/>
      <c r="C208" s="64" t="s">
        <v>71</v>
      </c>
      <c r="D208" s="65"/>
      <c r="E208" s="42"/>
      <c r="F208" s="42"/>
      <c r="G208" s="66"/>
    </row>
    <row r="209" spans="1:7" ht="13.8" x14ac:dyDescent="0.25">
      <c r="A209" s="75"/>
      <c r="B209" s="69"/>
      <c r="C209" s="64"/>
      <c r="D209" s="65"/>
      <c r="E209" s="42"/>
      <c r="F209" s="42"/>
      <c r="G209" s="66"/>
    </row>
    <row r="210" spans="1:7" ht="14.4" x14ac:dyDescent="0.3">
      <c r="A210" s="62"/>
      <c r="B210" s="69"/>
      <c r="C210" s="71" t="s">
        <v>23</v>
      </c>
      <c r="D210" s="84">
        <f>SUM(D209:D209)</f>
        <v>0</v>
      </c>
      <c r="E210" s="85">
        <f>SUM(E209:E209)</f>
        <v>0</v>
      </c>
      <c r="F210" s="85">
        <f>SUM(F209:F209)</f>
        <v>0</v>
      </c>
      <c r="G210" s="86">
        <f>SUM(G209:G209)</f>
        <v>0</v>
      </c>
    </row>
    <row r="211" spans="1:7" ht="13.8" x14ac:dyDescent="0.25">
      <c r="A211" s="62"/>
      <c r="B211" s="69"/>
      <c r="C211" s="71"/>
      <c r="D211" s="72"/>
      <c r="E211" s="73"/>
      <c r="F211" s="73"/>
      <c r="G211" s="74"/>
    </row>
    <row r="212" spans="1:7" ht="13.8" x14ac:dyDescent="0.25">
      <c r="A212" s="97"/>
      <c r="B212" s="98"/>
      <c r="C212" s="64" t="s">
        <v>72</v>
      </c>
      <c r="D212" s="65"/>
      <c r="E212" s="42"/>
      <c r="F212" s="42"/>
      <c r="G212" s="66"/>
    </row>
    <row r="213" spans="1:7" ht="13.8" x14ac:dyDescent="0.25">
      <c r="A213" s="62"/>
      <c r="B213" s="82"/>
      <c r="C213" s="64" t="s">
        <v>165</v>
      </c>
      <c r="D213" s="65">
        <v>5000</v>
      </c>
      <c r="E213" s="42">
        <v>0</v>
      </c>
      <c r="F213" s="42">
        <v>5000</v>
      </c>
      <c r="G213" s="66">
        <v>0</v>
      </c>
    </row>
    <row r="214" spans="1:7" ht="13.8" x14ac:dyDescent="0.25">
      <c r="A214" s="62"/>
      <c r="B214" s="82"/>
      <c r="C214" s="64" t="s">
        <v>922</v>
      </c>
      <c r="D214" s="65">
        <v>3300</v>
      </c>
      <c r="E214" s="42">
        <v>0</v>
      </c>
      <c r="F214" s="42">
        <v>3300</v>
      </c>
      <c r="G214" s="66">
        <v>0</v>
      </c>
    </row>
    <row r="215" spans="1:7" ht="13.8" x14ac:dyDescent="0.25">
      <c r="A215" s="62"/>
      <c r="B215" s="98"/>
      <c r="C215" s="91"/>
      <c r="D215" s="65"/>
      <c r="E215" s="42"/>
      <c r="F215" s="42"/>
      <c r="G215" s="66"/>
    </row>
    <row r="216" spans="1:7" ht="14.4" x14ac:dyDescent="0.3">
      <c r="A216" s="62"/>
      <c r="B216" s="98"/>
      <c r="C216" s="71" t="s">
        <v>23</v>
      </c>
      <c r="D216" s="84">
        <f>SUM(D213:D215)</f>
        <v>8300</v>
      </c>
      <c r="E216" s="85">
        <f>SUM(E213:E215)</f>
        <v>0</v>
      </c>
      <c r="F216" s="85">
        <f>SUM(F213:F215)</f>
        <v>8300</v>
      </c>
      <c r="G216" s="86">
        <f>SUM(G213:G215)</f>
        <v>0</v>
      </c>
    </row>
    <row r="217" spans="1:7" ht="13.8" x14ac:dyDescent="0.25">
      <c r="A217" s="62"/>
      <c r="B217" s="98"/>
      <c r="C217" s="71"/>
      <c r="D217" s="72"/>
      <c r="E217" s="73"/>
      <c r="F217" s="73"/>
      <c r="G217" s="74"/>
    </row>
    <row r="218" spans="1:7" ht="13.8" x14ac:dyDescent="0.25">
      <c r="A218" s="62"/>
      <c r="B218" s="98"/>
      <c r="C218" s="64" t="s">
        <v>61</v>
      </c>
      <c r="D218" s="72"/>
      <c r="E218" s="73"/>
      <c r="F218" s="73"/>
      <c r="G218" s="74"/>
    </row>
    <row r="219" spans="1:7" ht="27.6" x14ac:dyDescent="0.25">
      <c r="A219" s="62"/>
      <c r="B219" s="82"/>
      <c r="C219" s="81" t="s">
        <v>196</v>
      </c>
      <c r="D219" s="65">
        <v>5000</v>
      </c>
      <c r="E219" s="42">
        <v>5000</v>
      </c>
      <c r="F219" s="42">
        <v>0</v>
      </c>
      <c r="G219" s="66">
        <v>0</v>
      </c>
    </row>
    <row r="220" spans="1:7" ht="27.6" x14ac:dyDescent="0.25">
      <c r="A220" s="62"/>
      <c r="B220" s="82"/>
      <c r="C220" s="99" t="s">
        <v>197</v>
      </c>
      <c r="D220" s="65">
        <v>9868</v>
      </c>
      <c r="E220" s="42">
        <v>9868</v>
      </c>
      <c r="F220" s="42">
        <v>0</v>
      </c>
      <c r="G220" s="66">
        <v>0</v>
      </c>
    </row>
    <row r="221" spans="1:7" ht="13.8" x14ac:dyDescent="0.25">
      <c r="A221" s="62"/>
      <c r="B221" s="98"/>
      <c r="C221" s="91"/>
      <c r="D221" s="87"/>
      <c r="E221" s="88"/>
      <c r="F221" s="88"/>
      <c r="G221" s="89"/>
    </row>
    <row r="222" spans="1:7" ht="14.4" x14ac:dyDescent="0.3">
      <c r="A222" s="62"/>
      <c r="B222" s="98"/>
      <c r="C222" s="71" t="s">
        <v>23</v>
      </c>
      <c r="D222" s="84">
        <f>SUM(D219:D221)</f>
        <v>14868</v>
      </c>
      <c r="E222" s="85">
        <f>SUM(E219:E221)</f>
        <v>14868</v>
      </c>
      <c r="F222" s="85">
        <f>SUM(F219:F221)</f>
        <v>0</v>
      </c>
      <c r="G222" s="86">
        <f>SUM(G219:G221)</f>
        <v>0</v>
      </c>
    </row>
    <row r="223" spans="1:7" ht="13.8" x14ac:dyDescent="0.25">
      <c r="A223" s="62"/>
      <c r="B223" s="98"/>
      <c r="C223" s="71"/>
      <c r="D223" s="72"/>
      <c r="E223" s="73"/>
      <c r="F223" s="73"/>
      <c r="G223" s="74"/>
    </row>
    <row r="224" spans="1:7" ht="14.4" x14ac:dyDescent="0.3">
      <c r="A224" s="62"/>
      <c r="B224" s="98"/>
      <c r="C224" s="83" t="s">
        <v>39</v>
      </c>
      <c r="D224" s="84">
        <f>D210+D216+D222</f>
        <v>23168</v>
      </c>
      <c r="E224" s="85">
        <f>E210+E216+E222</f>
        <v>14868</v>
      </c>
      <c r="F224" s="85">
        <f>F210+F216+F222</f>
        <v>8300</v>
      </c>
      <c r="G224" s="86">
        <f>G210+G216+G222</f>
        <v>0</v>
      </c>
    </row>
    <row r="225" spans="1:7" ht="14.4" x14ac:dyDescent="0.3">
      <c r="A225" s="62"/>
      <c r="B225" s="69"/>
      <c r="C225" s="83"/>
      <c r="D225" s="84"/>
      <c r="E225" s="85"/>
      <c r="F225" s="85"/>
      <c r="G225" s="86"/>
    </row>
    <row r="226" spans="1:7" ht="13.8" x14ac:dyDescent="0.25">
      <c r="A226" s="62"/>
      <c r="B226" s="69"/>
      <c r="C226" s="56" t="s">
        <v>11</v>
      </c>
      <c r="D226" s="57">
        <f>D54+D64+D122+D136+D176+D194+D205+D224</f>
        <v>4277690</v>
      </c>
      <c r="E226" s="58">
        <f>E54+E64+E122+E136+E176+E194+E205+E224</f>
        <v>3807370</v>
      </c>
      <c r="F226" s="58">
        <f>F54+F64+F122+F136+F176+F194+F205+F224</f>
        <v>455320</v>
      </c>
      <c r="G226" s="59">
        <f>G54+G64+G122+G136+G176+G194+G205+G224</f>
        <v>15000</v>
      </c>
    </row>
    <row r="227" spans="1:7" x14ac:dyDescent="0.3">
      <c r="A227" s="62"/>
      <c r="B227" s="100"/>
      <c r="C227" s="101"/>
      <c r="D227" s="92"/>
      <c r="E227" s="43"/>
      <c r="F227" s="43"/>
      <c r="G227" s="93"/>
    </row>
    <row r="228" spans="1:7" x14ac:dyDescent="0.3">
      <c r="A228" s="62"/>
      <c r="B228" s="69" t="s">
        <v>60</v>
      </c>
      <c r="C228" s="64" t="s">
        <v>78</v>
      </c>
      <c r="D228" s="92"/>
      <c r="E228" s="43"/>
      <c r="F228" s="43"/>
      <c r="G228" s="93"/>
    </row>
    <row r="229" spans="1:7" x14ac:dyDescent="0.3">
      <c r="A229" s="62"/>
      <c r="B229" s="95"/>
      <c r="C229" s="64" t="s">
        <v>79</v>
      </c>
      <c r="D229" s="92"/>
      <c r="E229" s="43"/>
      <c r="F229" s="43"/>
      <c r="G229" s="93"/>
    </row>
    <row r="230" spans="1:7" ht="13.8" x14ac:dyDescent="0.25">
      <c r="A230" s="62"/>
      <c r="B230" s="69"/>
      <c r="C230" s="102" t="s">
        <v>75</v>
      </c>
      <c r="D230" s="65">
        <v>0</v>
      </c>
      <c r="E230" s="42">
        <v>0</v>
      </c>
      <c r="F230" s="42">
        <v>0</v>
      </c>
      <c r="G230" s="66">
        <v>0</v>
      </c>
    </row>
    <row r="231" spans="1:7" ht="13.8" x14ac:dyDescent="0.25">
      <c r="A231" s="62"/>
      <c r="B231" s="69"/>
      <c r="C231" s="102" t="s">
        <v>76</v>
      </c>
      <c r="D231" s="65">
        <v>26389</v>
      </c>
      <c r="E231" s="42">
        <v>26389</v>
      </c>
      <c r="F231" s="42">
        <v>0</v>
      </c>
      <c r="G231" s="66">
        <v>0</v>
      </c>
    </row>
    <row r="232" spans="1:7" ht="13.8" x14ac:dyDescent="0.25">
      <c r="A232" s="62"/>
      <c r="B232" s="82"/>
      <c r="C232" s="64" t="s">
        <v>77</v>
      </c>
      <c r="D232" s="65">
        <v>0</v>
      </c>
      <c r="E232" s="42">
        <v>0</v>
      </c>
      <c r="F232" s="42">
        <v>0</v>
      </c>
      <c r="G232" s="66">
        <v>0</v>
      </c>
    </row>
    <row r="233" spans="1:7" ht="14.4" x14ac:dyDescent="0.3">
      <c r="A233" s="62"/>
      <c r="B233" s="69"/>
      <c r="C233" s="83" t="s">
        <v>23</v>
      </c>
      <c r="D233" s="78">
        <f t="shared" ref="D233:G233" si="9">SUM(D230:D232)</f>
        <v>26389</v>
      </c>
      <c r="E233" s="79">
        <f t="shared" si="9"/>
        <v>26389</v>
      </c>
      <c r="F233" s="79">
        <f t="shared" si="9"/>
        <v>0</v>
      </c>
      <c r="G233" s="80">
        <f t="shared" si="9"/>
        <v>0</v>
      </c>
    </row>
    <row r="234" spans="1:7" ht="14.4" x14ac:dyDescent="0.3">
      <c r="A234" s="62"/>
      <c r="B234" s="69"/>
      <c r="C234" s="83"/>
      <c r="D234" s="78"/>
      <c r="E234" s="79"/>
      <c r="F234" s="79"/>
      <c r="G234" s="80"/>
    </row>
    <row r="235" spans="1:7" ht="13.8" x14ac:dyDescent="0.25">
      <c r="A235" s="62"/>
      <c r="B235" s="69"/>
      <c r="C235" s="102" t="s">
        <v>80</v>
      </c>
      <c r="D235" s="65">
        <v>64565</v>
      </c>
      <c r="E235" s="42">
        <v>64565</v>
      </c>
      <c r="F235" s="42">
        <v>0</v>
      </c>
      <c r="G235" s="66">
        <v>0</v>
      </c>
    </row>
    <row r="236" spans="1:7" ht="13.8" x14ac:dyDescent="0.25">
      <c r="A236" s="62"/>
      <c r="B236" s="103"/>
      <c r="C236" s="64"/>
      <c r="D236" s="65"/>
      <c r="E236" s="42"/>
      <c r="F236" s="42"/>
      <c r="G236" s="66"/>
    </row>
    <row r="237" spans="1:7" ht="14.4" thickBot="1" x14ac:dyDescent="0.3">
      <c r="A237" s="104"/>
      <c r="B237" s="105"/>
      <c r="C237" s="106" t="s">
        <v>16</v>
      </c>
      <c r="D237" s="107">
        <f>SUM(D43,D233,D226)+D235</f>
        <v>5548638</v>
      </c>
      <c r="E237" s="108">
        <f>SUM(E43,E233,E226)+E235</f>
        <v>5078318</v>
      </c>
      <c r="F237" s="108">
        <f>SUM(F43,F233,F226)+F235</f>
        <v>455320</v>
      </c>
      <c r="G237" s="109">
        <f>SUM(G43,G233,G226)+G235</f>
        <v>15000</v>
      </c>
    </row>
    <row r="238" spans="1:7" x14ac:dyDescent="0.3">
      <c r="A238" s="571"/>
      <c r="B238" s="572"/>
      <c r="C238" s="573"/>
    </row>
    <row r="239" spans="1:7" x14ac:dyDescent="0.3">
      <c r="A239" s="20"/>
      <c r="B239" s="20"/>
      <c r="C239" s="574"/>
    </row>
    <row r="240" spans="1:7" x14ac:dyDescent="0.3">
      <c r="A240" s="20"/>
      <c r="B240" s="20"/>
      <c r="C240" s="20"/>
      <c r="D240" s="231"/>
    </row>
    <row r="241" spans="1:3" x14ac:dyDescent="0.3">
      <c r="A241" s="20"/>
      <c r="B241" s="20"/>
      <c r="C241" s="20"/>
    </row>
    <row r="242" spans="1:3" x14ac:dyDescent="0.3">
      <c r="A242" s="20"/>
      <c r="B242" s="20"/>
      <c r="C242" s="20"/>
    </row>
    <row r="243" spans="1:3" x14ac:dyDescent="0.3">
      <c r="A243" s="20"/>
      <c r="B243" s="20"/>
      <c r="C243" s="20"/>
    </row>
    <row r="244" spans="1:3" x14ac:dyDescent="0.3">
      <c r="A244" s="38"/>
      <c r="B244" s="38"/>
      <c r="C244" s="38"/>
    </row>
    <row r="245" spans="1:3" x14ac:dyDescent="0.3">
      <c r="A245" s="38"/>
      <c r="B245" s="38"/>
      <c r="C245" s="38"/>
    </row>
    <row r="246" spans="1:3" x14ac:dyDescent="0.3">
      <c r="A246" s="38"/>
      <c r="B246" s="38"/>
      <c r="C246" s="38"/>
    </row>
    <row r="247" spans="1:3" x14ac:dyDescent="0.3">
      <c r="A247" s="38"/>
      <c r="B247" s="38"/>
      <c r="C247" s="38"/>
    </row>
    <row r="248" spans="1:3" x14ac:dyDescent="0.3">
      <c r="A248" s="38"/>
      <c r="B248" s="38"/>
      <c r="C248" s="38"/>
    </row>
    <row r="249" spans="1:3" x14ac:dyDescent="0.3">
      <c r="A249" s="38"/>
      <c r="B249" s="38"/>
      <c r="C249" s="38"/>
    </row>
    <row r="250" spans="1:3" x14ac:dyDescent="0.3">
      <c r="A250" s="38"/>
      <c r="B250" s="38"/>
      <c r="C250" s="38"/>
    </row>
    <row r="251" spans="1:3" x14ac:dyDescent="0.3">
      <c r="A251" s="38"/>
      <c r="B251" s="38"/>
      <c r="C251" s="38"/>
    </row>
    <row r="252" spans="1:3" x14ac:dyDescent="0.3">
      <c r="A252" s="38"/>
      <c r="B252" s="38"/>
      <c r="C252" s="38"/>
    </row>
    <row r="253" spans="1:3" x14ac:dyDescent="0.3">
      <c r="A253" s="38"/>
      <c r="B253" s="38"/>
      <c r="C253" s="38"/>
    </row>
    <row r="254" spans="1:3" x14ac:dyDescent="0.3">
      <c r="A254" s="38"/>
      <c r="B254" s="38"/>
      <c r="C254" s="38"/>
    </row>
    <row r="255" spans="1:3" x14ac:dyDescent="0.3">
      <c r="A255" s="38"/>
      <c r="B255" s="38"/>
      <c r="C255" s="38"/>
    </row>
    <row r="256" spans="1:3" x14ac:dyDescent="0.3">
      <c r="A256" s="38"/>
      <c r="B256" s="38"/>
      <c r="C256" s="38"/>
    </row>
    <row r="257" spans="1:3" x14ac:dyDescent="0.3">
      <c r="A257" s="38"/>
      <c r="B257" s="38"/>
      <c r="C257" s="38"/>
    </row>
    <row r="258" spans="1:3" x14ac:dyDescent="0.3">
      <c r="A258" s="38"/>
      <c r="B258" s="38"/>
      <c r="C258" s="38"/>
    </row>
    <row r="259" spans="1:3" x14ac:dyDescent="0.3">
      <c r="A259" s="38"/>
      <c r="B259" s="38"/>
      <c r="C259" s="38"/>
    </row>
    <row r="260" spans="1:3" x14ac:dyDescent="0.3">
      <c r="A260" s="38"/>
      <c r="B260" s="38"/>
      <c r="C260" s="38"/>
    </row>
    <row r="261" spans="1:3" x14ac:dyDescent="0.3">
      <c r="A261" s="38"/>
      <c r="B261" s="38"/>
      <c r="C261" s="38"/>
    </row>
    <row r="262" spans="1:3" x14ac:dyDescent="0.3">
      <c r="A262" s="38"/>
      <c r="B262" s="38"/>
      <c r="C262" s="38"/>
    </row>
    <row r="263" spans="1:3" x14ac:dyDescent="0.3">
      <c r="A263" s="38"/>
      <c r="B263" s="38"/>
      <c r="C263" s="38"/>
    </row>
    <row r="264" spans="1:3" x14ac:dyDescent="0.3">
      <c r="A264" s="38"/>
      <c r="B264" s="38"/>
      <c r="C264" s="38"/>
    </row>
    <row r="265" spans="1:3" x14ac:dyDescent="0.3">
      <c r="A265" s="38"/>
      <c r="B265" s="38"/>
      <c r="C265" s="38"/>
    </row>
    <row r="266" spans="1:3" x14ac:dyDescent="0.3">
      <c r="A266" s="38"/>
      <c r="B266" s="38"/>
      <c r="C266" s="38"/>
    </row>
    <row r="267" spans="1:3" x14ac:dyDescent="0.3">
      <c r="A267" s="38"/>
      <c r="B267" s="38"/>
      <c r="C267" s="38"/>
    </row>
    <row r="268" spans="1:3" x14ac:dyDescent="0.3">
      <c r="A268" s="38"/>
      <c r="B268" s="38"/>
      <c r="C268" s="38"/>
    </row>
    <row r="269" spans="1:3" x14ac:dyDescent="0.3">
      <c r="A269" s="38"/>
      <c r="B269" s="38"/>
      <c r="C269" s="38"/>
    </row>
    <row r="270" spans="1:3" x14ac:dyDescent="0.3">
      <c r="A270" s="38"/>
      <c r="B270" s="38"/>
      <c r="C270" s="38"/>
    </row>
    <row r="271" spans="1:3" x14ac:dyDescent="0.3">
      <c r="A271" s="38"/>
      <c r="B271" s="38"/>
      <c r="C271" s="38"/>
    </row>
    <row r="272" spans="1:3" x14ac:dyDescent="0.3">
      <c r="A272" s="38"/>
      <c r="B272" s="38"/>
      <c r="C272" s="38"/>
    </row>
    <row r="273" spans="1:3" x14ac:dyDescent="0.3">
      <c r="A273" s="38"/>
      <c r="B273" s="38"/>
      <c r="C273" s="38"/>
    </row>
    <row r="274" spans="1:3" x14ac:dyDescent="0.3">
      <c r="A274" s="38"/>
      <c r="B274" s="38"/>
      <c r="C274" s="38"/>
    </row>
    <row r="275" spans="1:3" x14ac:dyDescent="0.3">
      <c r="A275" s="38"/>
      <c r="B275" s="38"/>
      <c r="C275" s="38"/>
    </row>
    <row r="276" spans="1:3" x14ac:dyDescent="0.3">
      <c r="A276" s="38"/>
      <c r="B276" s="38"/>
      <c r="C276" s="38"/>
    </row>
    <row r="277" spans="1:3" x14ac:dyDescent="0.3">
      <c r="A277" s="38"/>
      <c r="B277" s="38"/>
      <c r="C277" s="38"/>
    </row>
    <row r="278" spans="1:3" x14ac:dyDescent="0.3">
      <c r="A278" s="38"/>
      <c r="B278" s="38"/>
      <c r="C278" s="38"/>
    </row>
    <row r="279" spans="1:3" x14ac:dyDescent="0.3">
      <c r="A279" s="20"/>
      <c r="B279" s="20"/>
      <c r="C279" s="20"/>
    </row>
    <row r="280" spans="1:3" x14ac:dyDescent="0.3">
      <c r="A280" s="20"/>
      <c r="B280" s="20"/>
      <c r="C280" s="20"/>
    </row>
    <row r="281" spans="1:3" x14ac:dyDescent="0.3">
      <c r="A281" s="20"/>
      <c r="B281" s="20"/>
      <c r="C281" s="20"/>
    </row>
  </sheetData>
  <mergeCells count="1">
    <mergeCell ref="D5:G5"/>
  </mergeCells>
  <pageMargins left="0.31496062992125984" right="0.31496062992125984" top="0.74803149606299213" bottom="0.74803149606299213" header="0.31496062992125984" footer="0.31496062992125984"/>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2"/>
  <sheetViews>
    <sheetView view="pageBreakPreview" zoomScale="130" zoomScaleNormal="100" zoomScaleSheetLayoutView="130" workbookViewId="0">
      <selection activeCell="B12" sqref="B12"/>
    </sheetView>
  </sheetViews>
  <sheetFormatPr defaultColWidth="9.109375" defaultRowHeight="16.8" x14ac:dyDescent="0.3"/>
  <cols>
    <col min="1" max="1" width="16.5546875" style="11" customWidth="1"/>
    <col min="2" max="2" width="8.33203125" style="1" bestFit="1" customWidth="1"/>
    <col min="3" max="3" width="18.109375" style="1" customWidth="1"/>
    <col min="4" max="5" width="8.33203125" style="1" bestFit="1" customWidth="1"/>
    <col min="6" max="6" width="11.44140625" style="1" customWidth="1"/>
    <col min="7" max="7" width="10.88671875" style="1" customWidth="1"/>
    <col min="8" max="8" width="10.88671875" style="6" customWidth="1"/>
    <col min="9" max="9" width="14.44140625" style="6" customWidth="1"/>
    <col min="10" max="10" width="8.33203125" style="1" bestFit="1" customWidth="1"/>
    <col min="11" max="16384" width="9.109375" style="1"/>
  </cols>
  <sheetData>
    <row r="1" spans="1:10" x14ac:dyDescent="0.3">
      <c r="J1" s="13" t="s">
        <v>956</v>
      </c>
    </row>
    <row r="2" spans="1:10" x14ac:dyDescent="0.3">
      <c r="A2" s="18"/>
      <c r="B2" s="14"/>
      <c r="C2" s="14"/>
      <c r="D2" s="14"/>
      <c r="E2" s="14"/>
      <c r="F2" s="14"/>
      <c r="G2" s="14"/>
      <c r="H2" s="15"/>
      <c r="I2" s="15"/>
    </row>
    <row r="3" spans="1:10" x14ac:dyDescent="0.3">
      <c r="A3" s="577" t="s">
        <v>955</v>
      </c>
      <c r="B3" s="577"/>
      <c r="C3" s="577"/>
      <c r="D3" s="577"/>
      <c r="E3" s="577"/>
      <c r="F3" s="577"/>
      <c r="G3" s="577"/>
      <c r="H3" s="578"/>
      <c r="I3" s="15"/>
    </row>
    <row r="4" spans="1:10" s="2" customFormat="1" ht="18.600000000000001" x14ac:dyDescent="0.3">
      <c r="A4" s="577" t="s">
        <v>927</v>
      </c>
      <c r="B4" s="577"/>
      <c r="C4" s="577"/>
      <c r="D4" s="577"/>
      <c r="E4" s="577"/>
      <c r="F4" s="577"/>
      <c r="G4" s="577"/>
      <c r="H4" s="578"/>
      <c r="I4" s="15"/>
    </row>
    <row r="5" spans="1:10" s="2" customFormat="1" ht="18.600000000000001" x14ac:dyDescent="0.3">
      <c r="B5" s="3"/>
      <c r="C5" s="3"/>
      <c r="D5" s="3"/>
      <c r="E5" s="3"/>
      <c r="F5" s="3"/>
      <c r="G5" s="3"/>
      <c r="H5" s="4"/>
      <c r="I5" s="4"/>
      <c r="J5" s="7"/>
    </row>
    <row r="6" spans="1:10" s="5" customFormat="1" ht="38.25" customHeight="1" x14ac:dyDescent="0.25">
      <c r="A6" s="30"/>
      <c r="B6" s="232" t="s">
        <v>21</v>
      </c>
      <c r="C6" s="232" t="s">
        <v>74</v>
      </c>
      <c r="D6" s="232" t="s">
        <v>26</v>
      </c>
      <c r="E6" s="232" t="s">
        <v>45</v>
      </c>
      <c r="F6" s="232" t="s">
        <v>46</v>
      </c>
      <c r="G6" s="232" t="s">
        <v>47</v>
      </c>
      <c r="H6" s="232" t="s">
        <v>19</v>
      </c>
      <c r="I6" s="232" t="s">
        <v>48</v>
      </c>
      <c r="J6" s="233" t="s">
        <v>22</v>
      </c>
    </row>
    <row r="7" spans="1:10" s="5" customFormat="1" ht="42.75" customHeight="1" x14ac:dyDescent="0.25">
      <c r="A7" s="30"/>
      <c r="B7" s="33" t="s">
        <v>43</v>
      </c>
      <c r="C7" s="33" t="s">
        <v>43</v>
      </c>
      <c r="D7" s="33" t="s">
        <v>43</v>
      </c>
      <c r="E7" s="33" t="s">
        <v>43</v>
      </c>
      <c r="F7" s="33" t="s">
        <v>43</v>
      </c>
      <c r="G7" s="33" t="s">
        <v>43</v>
      </c>
      <c r="H7" s="33" t="s">
        <v>43</v>
      </c>
      <c r="I7" s="33" t="s">
        <v>43</v>
      </c>
      <c r="J7" s="33" t="s">
        <v>43</v>
      </c>
    </row>
    <row r="8" spans="1:10" ht="23.25" customHeight="1" x14ac:dyDescent="0.3">
      <c r="A8" s="31" t="s">
        <v>40</v>
      </c>
      <c r="B8" s="17">
        <f>380451-107964</f>
        <v>272487</v>
      </c>
      <c r="C8" s="17">
        <f>53385-14036</f>
        <v>39349</v>
      </c>
      <c r="D8" s="17">
        <v>72378</v>
      </c>
      <c r="E8" s="17">
        <v>0</v>
      </c>
      <c r="F8" s="17">
        <v>0</v>
      </c>
      <c r="G8" s="17">
        <v>9017</v>
      </c>
      <c r="H8" s="17">
        <v>0</v>
      </c>
      <c r="I8" s="17">
        <v>0</v>
      </c>
      <c r="J8" s="17">
        <f>B8+C8+D8+E8+F8+G8+H8+I8</f>
        <v>393231</v>
      </c>
    </row>
    <row r="9" spans="1:10" ht="27" x14ac:dyDescent="0.3">
      <c r="A9" s="31" t="s">
        <v>73</v>
      </c>
      <c r="B9" s="17">
        <v>35600</v>
      </c>
      <c r="C9" s="17">
        <v>4850</v>
      </c>
      <c r="D9" s="17">
        <v>3350</v>
      </c>
      <c r="E9" s="17">
        <v>0</v>
      </c>
      <c r="F9" s="17">
        <v>0</v>
      </c>
      <c r="G9" s="17">
        <v>200</v>
      </c>
      <c r="H9" s="17">
        <v>0</v>
      </c>
      <c r="I9" s="17">
        <v>0</v>
      </c>
      <c r="J9" s="17">
        <f>B9+C9+D9+E9+F9+G9+H9+I9</f>
        <v>44000</v>
      </c>
    </row>
    <row r="10" spans="1:10" ht="27" x14ac:dyDescent="0.3">
      <c r="A10" s="31" t="s">
        <v>148</v>
      </c>
      <c r="B10" s="17">
        <v>9319</v>
      </c>
      <c r="C10" s="17">
        <v>1304</v>
      </c>
      <c r="D10" s="17">
        <v>240</v>
      </c>
      <c r="E10" s="17">
        <v>0</v>
      </c>
      <c r="F10" s="17">
        <v>0</v>
      </c>
      <c r="G10" s="17">
        <v>0</v>
      </c>
      <c r="H10" s="17">
        <v>0</v>
      </c>
      <c r="I10" s="17">
        <v>0</v>
      </c>
      <c r="J10" s="17">
        <f>B10+C10+D10+E10+F10+G10+H10+I10</f>
        <v>10863</v>
      </c>
    </row>
    <row r="11" spans="1:10" ht="27" x14ac:dyDescent="0.3">
      <c r="A11" s="31" t="s">
        <v>149</v>
      </c>
      <c r="B11" s="17">
        <v>9178</v>
      </c>
      <c r="C11" s="17">
        <v>1293</v>
      </c>
      <c r="D11" s="17">
        <v>32</v>
      </c>
      <c r="E11" s="17">
        <v>0</v>
      </c>
      <c r="F11" s="17">
        <v>0</v>
      </c>
      <c r="G11" s="17">
        <v>0</v>
      </c>
      <c r="H11" s="17">
        <v>0</v>
      </c>
      <c r="I11" s="17">
        <v>0</v>
      </c>
      <c r="J11" s="17">
        <f>B11+C11+D11+E11+F11+G11+H11+I11</f>
        <v>10503</v>
      </c>
    </row>
    <row r="12" spans="1:10" s="12" customFormat="1" ht="24.75" customHeight="1" x14ac:dyDescent="0.3">
      <c r="A12" s="32" t="s">
        <v>23</v>
      </c>
      <c r="B12" s="16">
        <f t="shared" ref="B12:J12" si="0">SUM(B8:B11)</f>
        <v>326584</v>
      </c>
      <c r="C12" s="16">
        <f t="shared" si="0"/>
        <v>46796</v>
      </c>
      <c r="D12" s="16">
        <f t="shared" si="0"/>
        <v>76000</v>
      </c>
      <c r="E12" s="16">
        <f t="shared" si="0"/>
        <v>0</v>
      </c>
      <c r="F12" s="16">
        <f t="shared" si="0"/>
        <v>0</v>
      </c>
      <c r="G12" s="16">
        <f t="shared" si="0"/>
        <v>9217</v>
      </c>
      <c r="H12" s="16">
        <f t="shared" si="0"/>
        <v>0</v>
      </c>
      <c r="I12" s="16">
        <f t="shared" si="0"/>
        <v>0</v>
      </c>
      <c r="J12" s="16">
        <f t="shared" si="0"/>
        <v>458597</v>
      </c>
    </row>
  </sheetData>
  <mergeCells count="2">
    <mergeCell ref="A3:H3"/>
    <mergeCell ref="A4:H4"/>
  </mergeCells>
  <printOptions horizontalCentered="1"/>
  <pageMargins left="0.19685039370078741" right="0.19685039370078741" top="0.39370078740157483" bottom="0.39370078740157483" header="0.51181102362204722" footer="0.51181102362204722"/>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1330A-FC0E-4A1C-8066-84544FA11041}">
  <sheetPr>
    <pageSetUpPr fitToPage="1"/>
  </sheetPr>
  <dimension ref="A1:F22"/>
  <sheetViews>
    <sheetView workbookViewId="0">
      <selection activeCell="A5" sqref="A5:A6"/>
    </sheetView>
  </sheetViews>
  <sheetFormatPr defaultRowHeight="13.2" x14ac:dyDescent="0.25"/>
  <cols>
    <col min="1" max="1" width="60.33203125" style="8" bestFit="1" customWidth="1"/>
    <col min="2" max="2" width="11.88671875" style="8" customWidth="1"/>
    <col min="3" max="3" width="12.33203125" style="8" customWidth="1"/>
    <col min="4" max="4" width="10.88671875" style="8" bestFit="1" customWidth="1"/>
    <col min="5" max="5" width="18.33203125" style="8" bestFit="1" customWidth="1"/>
    <col min="6" max="6" width="13.33203125" style="8" customWidth="1"/>
    <col min="7" max="256" width="9.109375" style="8"/>
    <col min="257" max="257" width="64.33203125" style="8" bestFit="1" customWidth="1"/>
    <col min="258" max="258" width="11.88671875" style="8" customWidth="1"/>
    <col min="259" max="259" width="12.33203125" style="8" customWidth="1"/>
    <col min="260" max="260" width="10.88671875" style="8" bestFit="1" customWidth="1"/>
    <col min="261" max="261" width="18.33203125" style="8" bestFit="1" customWidth="1"/>
    <col min="262" max="262" width="13.33203125" style="8" customWidth="1"/>
    <col min="263" max="512" width="9.109375" style="8"/>
    <col min="513" max="513" width="64.33203125" style="8" bestFit="1" customWidth="1"/>
    <col min="514" max="514" width="11.88671875" style="8" customWidth="1"/>
    <col min="515" max="515" width="12.33203125" style="8" customWidth="1"/>
    <col min="516" max="516" width="10.88671875" style="8" bestFit="1" customWidth="1"/>
    <col min="517" max="517" width="18.33203125" style="8" bestFit="1" customWidth="1"/>
    <col min="518" max="518" width="13.33203125" style="8" customWidth="1"/>
    <col min="519" max="768" width="9.109375" style="8"/>
    <col min="769" max="769" width="64.33203125" style="8" bestFit="1" customWidth="1"/>
    <col min="770" max="770" width="11.88671875" style="8" customWidth="1"/>
    <col min="771" max="771" width="12.33203125" style="8" customWidth="1"/>
    <col min="772" max="772" width="10.88671875" style="8" bestFit="1" customWidth="1"/>
    <col min="773" max="773" width="18.33203125" style="8" bestFit="1" customWidth="1"/>
    <col min="774" max="774" width="13.33203125" style="8" customWidth="1"/>
    <col min="775" max="1024" width="9.109375" style="8"/>
    <col min="1025" max="1025" width="64.33203125" style="8" bestFit="1" customWidth="1"/>
    <col min="1026" max="1026" width="11.88671875" style="8" customWidth="1"/>
    <col min="1027" max="1027" width="12.33203125" style="8" customWidth="1"/>
    <col min="1028" max="1028" width="10.88671875" style="8" bestFit="1" customWidth="1"/>
    <col min="1029" max="1029" width="18.33203125" style="8" bestFit="1" customWidth="1"/>
    <col min="1030" max="1030" width="13.33203125" style="8" customWidth="1"/>
    <col min="1031" max="1280" width="9.109375" style="8"/>
    <col min="1281" max="1281" width="64.33203125" style="8" bestFit="1" customWidth="1"/>
    <col min="1282" max="1282" width="11.88671875" style="8" customWidth="1"/>
    <col min="1283" max="1283" width="12.33203125" style="8" customWidth="1"/>
    <col min="1284" max="1284" width="10.88671875" style="8" bestFit="1" customWidth="1"/>
    <col min="1285" max="1285" width="18.33203125" style="8" bestFit="1" customWidth="1"/>
    <col min="1286" max="1286" width="13.33203125" style="8" customWidth="1"/>
    <col min="1287" max="1536" width="9.109375" style="8"/>
    <col min="1537" max="1537" width="64.33203125" style="8" bestFit="1" customWidth="1"/>
    <col min="1538" max="1538" width="11.88671875" style="8" customWidth="1"/>
    <col min="1539" max="1539" width="12.33203125" style="8" customWidth="1"/>
    <col min="1540" max="1540" width="10.88671875" style="8" bestFit="1" customWidth="1"/>
    <col min="1541" max="1541" width="18.33203125" style="8" bestFit="1" customWidth="1"/>
    <col min="1542" max="1542" width="13.33203125" style="8" customWidth="1"/>
    <col min="1543" max="1792" width="9.109375" style="8"/>
    <col min="1793" max="1793" width="64.33203125" style="8" bestFit="1" customWidth="1"/>
    <col min="1794" max="1794" width="11.88671875" style="8" customWidth="1"/>
    <col min="1795" max="1795" width="12.33203125" style="8" customWidth="1"/>
    <col min="1796" max="1796" width="10.88671875" style="8" bestFit="1" customWidth="1"/>
    <col min="1797" max="1797" width="18.33203125" style="8" bestFit="1" customWidth="1"/>
    <col min="1798" max="1798" width="13.33203125" style="8" customWidth="1"/>
    <col min="1799" max="2048" width="9.109375" style="8"/>
    <col min="2049" max="2049" width="64.33203125" style="8" bestFit="1" customWidth="1"/>
    <col min="2050" max="2050" width="11.88671875" style="8" customWidth="1"/>
    <col min="2051" max="2051" width="12.33203125" style="8" customWidth="1"/>
    <col min="2052" max="2052" width="10.88671875" style="8" bestFit="1" customWidth="1"/>
    <col min="2053" max="2053" width="18.33203125" style="8" bestFit="1" customWidth="1"/>
    <col min="2054" max="2054" width="13.33203125" style="8" customWidth="1"/>
    <col min="2055" max="2304" width="9.109375" style="8"/>
    <col min="2305" max="2305" width="64.33203125" style="8" bestFit="1" customWidth="1"/>
    <col min="2306" max="2306" width="11.88671875" style="8" customWidth="1"/>
    <col min="2307" max="2307" width="12.33203125" style="8" customWidth="1"/>
    <col min="2308" max="2308" width="10.88671875" style="8" bestFit="1" customWidth="1"/>
    <col min="2309" max="2309" width="18.33203125" style="8" bestFit="1" customWidth="1"/>
    <col min="2310" max="2310" width="13.33203125" style="8" customWidth="1"/>
    <col min="2311" max="2560" width="9.109375" style="8"/>
    <col min="2561" max="2561" width="64.33203125" style="8" bestFit="1" customWidth="1"/>
    <col min="2562" max="2562" width="11.88671875" style="8" customWidth="1"/>
    <col min="2563" max="2563" width="12.33203125" style="8" customWidth="1"/>
    <col min="2564" max="2564" width="10.88671875" style="8" bestFit="1" customWidth="1"/>
    <col min="2565" max="2565" width="18.33203125" style="8" bestFit="1" customWidth="1"/>
    <col min="2566" max="2566" width="13.33203125" style="8" customWidth="1"/>
    <col min="2567" max="2816" width="9.109375" style="8"/>
    <col min="2817" max="2817" width="64.33203125" style="8" bestFit="1" customWidth="1"/>
    <col min="2818" max="2818" width="11.88671875" style="8" customWidth="1"/>
    <col min="2819" max="2819" width="12.33203125" style="8" customWidth="1"/>
    <col min="2820" max="2820" width="10.88671875" style="8" bestFit="1" customWidth="1"/>
    <col min="2821" max="2821" width="18.33203125" style="8" bestFit="1" customWidth="1"/>
    <col min="2822" max="2822" width="13.33203125" style="8" customWidth="1"/>
    <col min="2823" max="3072" width="9.109375" style="8"/>
    <col min="3073" max="3073" width="64.33203125" style="8" bestFit="1" customWidth="1"/>
    <col min="3074" max="3074" width="11.88671875" style="8" customWidth="1"/>
    <col min="3075" max="3075" width="12.33203125" style="8" customWidth="1"/>
    <col min="3076" max="3076" width="10.88671875" style="8" bestFit="1" customWidth="1"/>
    <col min="3077" max="3077" width="18.33203125" style="8" bestFit="1" customWidth="1"/>
    <col min="3078" max="3078" width="13.33203125" style="8" customWidth="1"/>
    <col min="3079" max="3328" width="9.109375" style="8"/>
    <col min="3329" max="3329" width="64.33203125" style="8" bestFit="1" customWidth="1"/>
    <col min="3330" max="3330" width="11.88671875" style="8" customWidth="1"/>
    <col min="3331" max="3331" width="12.33203125" style="8" customWidth="1"/>
    <col min="3332" max="3332" width="10.88671875" style="8" bestFit="1" customWidth="1"/>
    <col min="3333" max="3333" width="18.33203125" style="8" bestFit="1" customWidth="1"/>
    <col min="3334" max="3334" width="13.33203125" style="8" customWidth="1"/>
    <col min="3335" max="3584" width="9.109375" style="8"/>
    <col min="3585" max="3585" width="64.33203125" style="8" bestFit="1" customWidth="1"/>
    <col min="3586" max="3586" width="11.88671875" style="8" customWidth="1"/>
    <col min="3587" max="3587" width="12.33203125" style="8" customWidth="1"/>
    <col min="3588" max="3588" width="10.88671875" style="8" bestFit="1" customWidth="1"/>
    <col min="3589" max="3589" width="18.33203125" style="8" bestFit="1" customWidth="1"/>
    <col min="3590" max="3590" width="13.33203125" style="8" customWidth="1"/>
    <col min="3591" max="3840" width="9.109375" style="8"/>
    <col min="3841" max="3841" width="64.33203125" style="8" bestFit="1" customWidth="1"/>
    <col min="3842" max="3842" width="11.88671875" style="8" customWidth="1"/>
    <col min="3843" max="3843" width="12.33203125" style="8" customWidth="1"/>
    <col min="3844" max="3844" width="10.88671875" style="8" bestFit="1" customWidth="1"/>
    <col min="3845" max="3845" width="18.33203125" style="8" bestFit="1" customWidth="1"/>
    <col min="3846" max="3846" width="13.33203125" style="8" customWidth="1"/>
    <col min="3847" max="4096" width="9.109375" style="8"/>
    <col min="4097" max="4097" width="64.33203125" style="8" bestFit="1" customWidth="1"/>
    <col min="4098" max="4098" width="11.88671875" style="8" customWidth="1"/>
    <col min="4099" max="4099" width="12.33203125" style="8" customWidth="1"/>
    <col min="4100" max="4100" width="10.88671875" style="8" bestFit="1" customWidth="1"/>
    <col min="4101" max="4101" width="18.33203125" style="8" bestFit="1" customWidth="1"/>
    <col min="4102" max="4102" width="13.33203125" style="8" customWidth="1"/>
    <col min="4103" max="4352" width="9.109375" style="8"/>
    <col min="4353" max="4353" width="64.33203125" style="8" bestFit="1" customWidth="1"/>
    <col min="4354" max="4354" width="11.88671875" style="8" customWidth="1"/>
    <col min="4355" max="4355" width="12.33203125" style="8" customWidth="1"/>
    <col min="4356" max="4356" width="10.88671875" style="8" bestFit="1" customWidth="1"/>
    <col min="4357" max="4357" width="18.33203125" style="8" bestFit="1" customWidth="1"/>
    <col min="4358" max="4358" width="13.33203125" style="8" customWidth="1"/>
    <col min="4359" max="4608" width="9.109375" style="8"/>
    <col min="4609" max="4609" width="64.33203125" style="8" bestFit="1" customWidth="1"/>
    <col min="4610" max="4610" width="11.88671875" style="8" customWidth="1"/>
    <col min="4611" max="4611" width="12.33203125" style="8" customWidth="1"/>
    <col min="4612" max="4612" width="10.88671875" style="8" bestFit="1" customWidth="1"/>
    <col min="4613" max="4613" width="18.33203125" style="8" bestFit="1" customWidth="1"/>
    <col min="4614" max="4614" width="13.33203125" style="8" customWidth="1"/>
    <col min="4615" max="4864" width="9.109375" style="8"/>
    <col min="4865" max="4865" width="64.33203125" style="8" bestFit="1" customWidth="1"/>
    <col min="4866" max="4866" width="11.88671875" style="8" customWidth="1"/>
    <col min="4867" max="4867" width="12.33203125" style="8" customWidth="1"/>
    <col min="4868" max="4868" width="10.88671875" style="8" bestFit="1" customWidth="1"/>
    <col min="4869" max="4869" width="18.33203125" style="8" bestFit="1" customWidth="1"/>
    <col min="4870" max="4870" width="13.33203125" style="8" customWidth="1"/>
    <col min="4871" max="5120" width="9.109375" style="8"/>
    <col min="5121" max="5121" width="64.33203125" style="8" bestFit="1" customWidth="1"/>
    <col min="5122" max="5122" width="11.88671875" style="8" customWidth="1"/>
    <col min="5123" max="5123" width="12.33203125" style="8" customWidth="1"/>
    <col min="5124" max="5124" width="10.88671875" style="8" bestFit="1" customWidth="1"/>
    <col min="5125" max="5125" width="18.33203125" style="8" bestFit="1" customWidth="1"/>
    <col min="5126" max="5126" width="13.33203125" style="8" customWidth="1"/>
    <col min="5127" max="5376" width="9.109375" style="8"/>
    <col min="5377" max="5377" width="64.33203125" style="8" bestFit="1" customWidth="1"/>
    <col min="5378" max="5378" width="11.88671875" style="8" customWidth="1"/>
    <col min="5379" max="5379" width="12.33203125" style="8" customWidth="1"/>
    <col min="5380" max="5380" width="10.88671875" style="8" bestFit="1" customWidth="1"/>
    <col min="5381" max="5381" width="18.33203125" style="8" bestFit="1" customWidth="1"/>
    <col min="5382" max="5382" width="13.33203125" style="8" customWidth="1"/>
    <col min="5383" max="5632" width="9.109375" style="8"/>
    <col min="5633" max="5633" width="64.33203125" style="8" bestFit="1" customWidth="1"/>
    <col min="5634" max="5634" width="11.88671875" style="8" customWidth="1"/>
    <col min="5635" max="5635" width="12.33203125" style="8" customWidth="1"/>
    <col min="5636" max="5636" width="10.88671875" style="8" bestFit="1" customWidth="1"/>
    <col min="5637" max="5637" width="18.33203125" style="8" bestFit="1" customWidth="1"/>
    <col min="5638" max="5638" width="13.33203125" style="8" customWidth="1"/>
    <col min="5639" max="5888" width="9.109375" style="8"/>
    <col min="5889" max="5889" width="64.33203125" style="8" bestFit="1" customWidth="1"/>
    <col min="5890" max="5890" width="11.88671875" style="8" customWidth="1"/>
    <col min="5891" max="5891" width="12.33203125" style="8" customWidth="1"/>
    <col min="5892" max="5892" width="10.88671875" style="8" bestFit="1" customWidth="1"/>
    <col min="5893" max="5893" width="18.33203125" style="8" bestFit="1" customWidth="1"/>
    <col min="5894" max="5894" width="13.33203125" style="8" customWidth="1"/>
    <col min="5895" max="6144" width="9.109375" style="8"/>
    <col min="6145" max="6145" width="64.33203125" style="8" bestFit="1" customWidth="1"/>
    <col min="6146" max="6146" width="11.88671875" style="8" customWidth="1"/>
    <col min="6147" max="6147" width="12.33203125" style="8" customWidth="1"/>
    <col min="6148" max="6148" width="10.88671875" style="8" bestFit="1" customWidth="1"/>
    <col min="6149" max="6149" width="18.33203125" style="8" bestFit="1" customWidth="1"/>
    <col min="6150" max="6150" width="13.33203125" style="8" customWidth="1"/>
    <col min="6151" max="6400" width="9.109375" style="8"/>
    <col min="6401" max="6401" width="64.33203125" style="8" bestFit="1" customWidth="1"/>
    <col min="6402" max="6402" width="11.88671875" style="8" customWidth="1"/>
    <col min="6403" max="6403" width="12.33203125" style="8" customWidth="1"/>
    <col min="6404" max="6404" width="10.88671875" style="8" bestFit="1" customWidth="1"/>
    <col min="6405" max="6405" width="18.33203125" style="8" bestFit="1" customWidth="1"/>
    <col min="6406" max="6406" width="13.33203125" style="8" customWidth="1"/>
    <col min="6407" max="6656" width="9.109375" style="8"/>
    <col min="6657" max="6657" width="64.33203125" style="8" bestFit="1" customWidth="1"/>
    <col min="6658" max="6658" width="11.88671875" style="8" customWidth="1"/>
    <col min="6659" max="6659" width="12.33203125" style="8" customWidth="1"/>
    <col min="6660" max="6660" width="10.88671875" style="8" bestFit="1" customWidth="1"/>
    <col min="6661" max="6661" width="18.33203125" style="8" bestFit="1" customWidth="1"/>
    <col min="6662" max="6662" width="13.33203125" style="8" customWidth="1"/>
    <col min="6663" max="6912" width="9.109375" style="8"/>
    <col min="6913" max="6913" width="64.33203125" style="8" bestFit="1" customWidth="1"/>
    <col min="6914" max="6914" width="11.88671875" style="8" customWidth="1"/>
    <col min="6915" max="6915" width="12.33203125" style="8" customWidth="1"/>
    <col min="6916" max="6916" width="10.88671875" style="8" bestFit="1" customWidth="1"/>
    <col min="6917" max="6917" width="18.33203125" style="8" bestFit="1" customWidth="1"/>
    <col min="6918" max="6918" width="13.33203125" style="8" customWidth="1"/>
    <col min="6919" max="7168" width="9.109375" style="8"/>
    <col min="7169" max="7169" width="64.33203125" style="8" bestFit="1" customWidth="1"/>
    <col min="7170" max="7170" width="11.88671875" style="8" customWidth="1"/>
    <col min="7171" max="7171" width="12.33203125" style="8" customWidth="1"/>
    <col min="7172" max="7172" width="10.88671875" style="8" bestFit="1" customWidth="1"/>
    <col min="7173" max="7173" width="18.33203125" style="8" bestFit="1" customWidth="1"/>
    <col min="7174" max="7174" width="13.33203125" style="8" customWidth="1"/>
    <col min="7175" max="7424" width="9.109375" style="8"/>
    <col min="7425" max="7425" width="64.33203125" style="8" bestFit="1" customWidth="1"/>
    <col min="7426" max="7426" width="11.88671875" style="8" customWidth="1"/>
    <col min="7427" max="7427" width="12.33203125" style="8" customWidth="1"/>
    <col min="7428" max="7428" width="10.88671875" style="8" bestFit="1" customWidth="1"/>
    <col min="7429" max="7429" width="18.33203125" style="8" bestFit="1" customWidth="1"/>
    <col min="7430" max="7430" width="13.33203125" style="8" customWidth="1"/>
    <col min="7431" max="7680" width="9.109375" style="8"/>
    <col min="7681" max="7681" width="64.33203125" style="8" bestFit="1" customWidth="1"/>
    <col min="7682" max="7682" width="11.88671875" style="8" customWidth="1"/>
    <col min="7683" max="7683" width="12.33203125" style="8" customWidth="1"/>
    <col min="7684" max="7684" width="10.88671875" style="8" bestFit="1" customWidth="1"/>
    <col min="7685" max="7685" width="18.33203125" style="8" bestFit="1" customWidth="1"/>
    <col min="7686" max="7686" width="13.33203125" style="8" customWidth="1"/>
    <col min="7687" max="7936" width="9.109375" style="8"/>
    <col min="7937" max="7937" width="64.33203125" style="8" bestFit="1" customWidth="1"/>
    <col min="7938" max="7938" width="11.88671875" style="8" customWidth="1"/>
    <col min="7939" max="7939" width="12.33203125" style="8" customWidth="1"/>
    <col min="7940" max="7940" width="10.88671875" style="8" bestFit="1" customWidth="1"/>
    <col min="7941" max="7941" width="18.33203125" style="8" bestFit="1" customWidth="1"/>
    <col min="7942" max="7942" width="13.33203125" style="8" customWidth="1"/>
    <col min="7943" max="8192" width="9.109375" style="8"/>
    <col min="8193" max="8193" width="64.33203125" style="8" bestFit="1" customWidth="1"/>
    <col min="8194" max="8194" width="11.88671875" style="8" customWidth="1"/>
    <col min="8195" max="8195" width="12.33203125" style="8" customWidth="1"/>
    <col min="8196" max="8196" width="10.88671875" style="8" bestFit="1" customWidth="1"/>
    <col min="8197" max="8197" width="18.33203125" style="8" bestFit="1" customWidth="1"/>
    <col min="8198" max="8198" width="13.33203125" style="8" customWidth="1"/>
    <col min="8199" max="8448" width="9.109375" style="8"/>
    <col min="8449" max="8449" width="64.33203125" style="8" bestFit="1" customWidth="1"/>
    <col min="8450" max="8450" width="11.88671875" style="8" customWidth="1"/>
    <col min="8451" max="8451" width="12.33203125" style="8" customWidth="1"/>
    <col min="8452" max="8452" width="10.88671875" style="8" bestFit="1" customWidth="1"/>
    <col min="8453" max="8453" width="18.33203125" style="8" bestFit="1" customWidth="1"/>
    <col min="8454" max="8454" width="13.33203125" style="8" customWidth="1"/>
    <col min="8455" max="8704" width="9.109375" style="8"/>
    <col min="8705" max="8705" width="64.33203125" style="8" bestFit="1" customWidth="1"/>
    <col min="8706" max="8706" width="11.88671875" style="8" customWidth="1"/>
    <col min="8707" max="8707" width="12.33203125" style="8" customWidth="1"/>
    <col min="8708" max="8708" width="10.88671875" style="8" bestFit="1" customWidth="1"/>
    <col min="8709" max="8709" width="18.33203125" style="8" bestFit="1" customWidth="1"/>
    <col min="8710" max="8710" width="13.33203125" style="8" customWidth="1"/>
    <col min="8711" max="8960" width="9.109375" style="8"/>
    <col min="8961" max="8961" width="64.33203125" style="8" bestFit="1" customWidth="1"/>
    <col min="8962" max="8962" width="11.88671875" style="8" customWidth="1"/>
    <col min="8963" max="8963" width="12.33203125" style="8" customWidth="1"/>
    <col min="8964" max="8964" width="10.88671875" style="8" bestFit="1" customWidth="1"/>
    <col min="8965" max="8965" width="18.33203125" style="8" bestFit="1" customWidth="1"/>
    <col min="8966" max="8966" width="13.33203125" style="8" customWidth="1"/>
    <col min="8967" max="9216" width="9.109375" style="8"/>
    <col min="9217" max="9217" width="64.33203125" style="8" bestFit="1" customWidth="1"/>
    <col min="9218" max="9218" width="11.88671875" style="8" customWidth="1"/>
    <col min="9219" max="9219" width="12.33203125" style="8" customWidth="1"/>
    <col min="9220" max="9220" width="10.88671875" style="8" bestFit="1" customWidth="1"/>
    <col min="9221" max="9221" width="18.33203125" style="8" bestFit="1" customWidth="1"/>
    <col min="9222" max="9222" width="13.33203125" style="8" customWidth="1"/>
    <col min="9223" max="9472" width="9.109375" style="8"/>
    <col min="9473" max="9473" width="64.33203125" style="8" bestFit="1" customWidth="1"/>
    <col min="9474" max="9474" width="11.88671875" style="8" customWidth="1"/>
    <col min="9475" max="9475" width="12.33203125" style="8" customWidth="1"/>
    <col min="9476" max="9476" width="10.88671875" style="8" bestFit="1" customWidth="1"/>
    <col min="9477" max="9477" width="18.33203125" style="8" bestFit="1" customWidth="1"/>
    <col min="9478" max="9478" width="13.33203125" style="8" customWidth="1"/>
    <col min="9479" max="9728" width="9.109375" style="8"/>
    <col min="9729" max="9729" width="64.33203125" style="8" bestFit="1" customWidth="1"/>
    <col min="9730" max="9730" width="11.88671875" style="8" customWidth="1"/>
    <col min="9731" max="9731" width="12.33203125" style="8" customWidth="1"/>
    <col min="9732" max="9732" width="10.88671875" style="8" bestFit="1" customWidth="1"/>
    <col min="9733" max="9733" width="18.33203125" style="8" bestFit="1" customWidth="1"/>
    <col min="9734" max="9734" width="13.33203125" style="8" customWidth="1"/>
    <col min="9735" max="9984" width="9.109375" style="8"/>
    <col min="9985" max="9985" width="64.33203125" style="8" bestFit="1" customWidth="1"/>
    <col min="9986" max="9986" width="11.88671875" style="8" customWidth="1"/>
    <col min="9987" max="9987" width="12.33203125" style="8" customWidth="1"/>
    <col min="9988" max="9988" width="10.88671875" style="8" bestFit="1" customWidth="1"/>
    <col min="9989" max="9989" width="18.33203125" style="8" bestFit="1" customWidth="1"/>
    <col min="9990" max="9990" width="13.33203125" style="8" customWidth="1"/>
    <col min="9991" max="10240" width="9.109375" style="8"/>
    <col min="10241" max="10241" width="64.33203125" style="8" bestFit="1" customWidth="1"/>
    <col min="10242" max="10242" width="11.88671875" style="8" customWidth="1"/>
    <col min="10243" max="10243" width="12.33203125" style="8" customWidth="1"/>
    <col min="10244" max="10244" width="10.88671875" style="8" bestFit="1" customWidth="1"/>
    <col min="10245" max="10245" width="18.33203125" style="8" bestFit="1" customWidth="1"/>
    <col min="10246" max="10246" width="13.33203125" style="8" customWidth="1"/>
    <col min="10247" max="10496" width="9.109375" style="8"/>
    <col min="10497" max="10497" width="64.33203125" style="8" bestFit="1" customWidth="1"/>
    <col min="10498" max="10498" width="11.88671875" style="8" customWidth="1"/>
    <col min="10499" max="10499" width="12.33203125" style="8" customWidth="1"/>
    <col min="10500" max="10500" width="10.88671875" style="8" bestFit="1" customWidth="1"/>
    <col min="10501" max="10501" width="18.33203125" style="8" bestFit="1" customWidth="1"/>
    <col min="10502" max="10502" width="13.33203125" style="8" customWidth="1"/>
    <col min="10503" max="10752" width="9.109375" style="8"/>
    <col min="10753" max="10753" width="64.33203125" style="8" bestFit="1" customWidth="1"/>
    <col min="10754" max="10754" width="11.88671875" style="8" customWidth="1"/>
    <col min="10755" max="10755" width="12.33203125" style="8" customWidth="1"/>
    <col min="10756" max="10756" width="10.88671875" style="8" bestFit="1" customWidth="1"/>
    <col min="10757" max="10757" width="18.33203125" style="8" bestFit="1" customWidth="1"/>
    <col min="10758" max="10758" width="13.33203125" style="8" customWidth="1"/>
    <col min="10759" max="11008" width="9.109375" style="8"/>
    <col min="11009" max="11009" width="64.33203125" style="8" bestFit="1" customWidth="1"/>
    <col min="11010" max="11010" width="11.88671875" style="8" customWidth="1"/>
    <col min="11011" max="11011" width="12.33203125" style="8" customWidth="1"/>
    <col min="11012" max="11012" width="10.88671875" style="8" bestFit="1" customWidth="1"/>
    <col min="11013" max="11013" width="18.33203125" style="8" bestFit="1" customWidth="1"/>
    <col min="11014" max="11014" width="13.33203125" style="8" customWidth="1"/>
    <col min="11015" max="11264" width="9.109375" style="8"/>
    <col min="11265" max="11265" width="64.33203125" style="8" bestFit="1" customWidth="1"/>
    <col min="11266" max="11266" width="11.88671875" style="8" customWidth="1"/>
    <col min="11267" max="11267" width="12.33203125" style="8" customWidth="1"/>
    <col min="11268" max="11268" width="10.88671875" style="8" bestFit="1" customWidth="1"/>
    <col min="11269" max="11269" width="18.33203125" style="8" bestFit="1" customWidth="1"/>
    <col min="11270" max="11270" width="13.33203125" style="8" customWidth="1"/>
    <col min="11271" max="11520" width="9.109375" style="8"/>
    <col min="11521" max="11521" width="64.33203125" style="8" bestFit="1" customWidth="1"/>
    <col min="11522" max="11522" width="11.88671875" style="8" customWidth="1"/>
    <col min="11523" max="11523" width="12.33203125" style="8" customWidth="1"/>
    <col min="11524" max="11524" width="10.88671875" style="8" bestFit="1" customWidth="1"/>
    <col min="11525" max="11525" width="18.33203125" style="8" bestFit="1" customWidth="1"/>
    <col min="11526" max="11526" width="13.33203125" style="8" customWidth="1"/>
    <col min="11527" max="11776" width="9.109375" style="8"/>
    <col min="11777" max="11777" width="64.33203125" style="8" bestFit="1" customWidth="1"/>
    <col min="11778" max="11778" width="11.88671875" style="8" customWidth="1"/>
    <col min="11779" max="11779" width="12.33203125" style="8" customWidth="1"/>
    <col min="11780" max="11780" width="10.88671875" style="8" bestFit="1" customWidth="1"/>
    <col min="11781" max="11781" width="18.33203125" style="8" bestFit="1" customWidth="1"/>
    <col min="11782" max="11782" width="13.33203125" style="8" customWidth="1"/>
    <col min="11783" max="12032" width="9.109375" style="8"/>
    <col min="12033" max="12033" width="64.33203125" style="8" bestFit="1" customWidth="1"/>
    <col min="12034" max="12034" width="11.88671875" style="8" customWidth="1"/>
    <col min="12035" max="12035" width="12.33203125" style="8" customWidth="1"/>
    <col min="12036" max="12036" width="10.88671875" style="8" bestFit="1" customWidth="1"/>
    <col min="12037" max="12037" width="18.33203125" style="8" bestFit="1" customWidth="1"/>
    <col min="12038" max="12038" width="13.33203125" style="8" customWidth="1"/>
    <col min="12039" max="12288" width="9.109375" style="8"/>
    <col min="12289" max="12289" width="64.33203125" style="8" bestFit="1" customWidth="1"/>
    <col min="12290" max="12290" width="11.88671875" style="8" customWidth="1"/>
    <col min="12291" max="12291" width="12.33203125" style="8" customWidth="1"/>
    <col min="12292" max="12292" width="10.88671875" style="8" bestFit="1" customWidth="1"/>
    <col min="12293" max="12293" width="18.33203125" style="8" bestFit="1" customWidth="1"/>
    <col min="12294" max="12294" width="13.33203125" style="8" customWidth="1"/>
    <col min="12295" max="12544" width="9.109375" style="8"/>
    <col min="12545" max="12545" width="64.33203125" style="8" bestFit="1" customWidth="1"/>
    <col min="12546" max="12546" width="11.88671875" style="8" customWidth="1"/>
    <col min="12547" max="12547" width="12.33203125" style="8" customWidth="1"/>
    <col min="12548" max="12548" width="10.88671875" style="8" bestFit="1" customWidth="1"/>
    <col min="12549" max="12549" width="18.33203125" style="8" bestFit="1" customWidth="1"/>
    <col min="12550" max="12550" width="13.33203125" style="8" customWidth="1"/>
    <col min="12551" max="12800" width="9.109375" style="8"/>
    <col min="12801" max="12801" width="64.33203125" style="8" bestFit="1" customWidth="1"/>
    <col min="12802" max="12802" width="11.88671875" style="8" customWidth="1"/>
    <col min="12803" max="12803" width="12.33203125" style="8" customWidth="1"/>
    <col min="12804" max="12804" width="10.88671875" style="8" bestFit="1" customWidth="1"/>
    <col min="12805" max="12805" width="18.33203125" style="8" bestFit="1" customWidth="1"/>
    <col min="12806" max="12806" width="13.33203125" style="8" customWidth="1"/>
    <col min="12807" max="13056" width="9.109375" style="8"/>
    <col min="13057" max="13057" width="64.33203125" style="8" bestFit="1" customWidth="1"/>
    <col min="13058" max="13058" width="11.88671875" style="8" customWidth="1"/>
    <col min="13059" max="13059" width="12.33203125" style="8" customWidth="1"/>
    <col min="13060" max="13060" width="10.88671875" style="8" bestFit="1" customWidth="1"/>
    <col min="13061" max="13061" width="18.33203125" style="8" bestFit="1" customWidth="1"/>
    <col min="13062" max="13062" width="13.33203125" style="8" customWidth="1"/>
    <col min="13063" max="13312" width="9.109375" style="8"/>
    <col min="13313" max="13313" width="64.33203125" style="8" bestFit="1" customWidth="1"/>
    <col min="13314" max="13314" width="11.88671875" style="8" customWidth="1"/>
    <col min="13315" max="13315" width="12.33203125" style="8" customWidth="1"/>
    <col min="13316" max="13316" width="10.88671875" style="8" bestFit="1" customWidth="1"/>
    <col min="13317" max="13317" width="18.33203125" style="8" bestFit="1" customWidth="1"/>
    <col min="13318" max="13318" width="13.33203125" style="8" customWidth="1"/>
    <col min="13319" max="13568" width="9.109375" style="8"/>
    <col min="13569" max="13569" width="64.33203125" style="8" bestFit="1" customWidth="1"/>
    <col min="13570" max="13570" width="11.88671875" style="8" customWidth="1"/>
    <col min="13571" max="13571" width="12.33203125" style="8" customWidth="1"/>
    <col min="13572" max="13572" width="10.88671875" style="8" bestFit="1" customWidth="1"/>
    <col min="13573" max="13573" width="18.33203125" style="8" bestFit="1" customWidth="1"/>
    <col min="13574" max="13574" width="13.33203125" style="8" customWidth="1"/>
    <col min="13575" max="13824" width="9.109375" style="8"/>
    <col min="13825" max="13825" width="64.33203125" style="8" bestFit="1" customWidth="1"/>
    <col min="13826" max="13826" width="11.88671875" style="8" customWidth="1"/>
    <col min="13827" max="13827" width="12.33203125" style="8" customWidth="1"/>
    <col min="13828" max="13828" width="10.88671875" style="8" bestFit="1" customWidth="1"/>
    <col min="13829" max="13829" width="18.33203125" style="8" bestFit="1" customWidth="1"/>
    <col min="13830" max="13830" width="13.33203125" style="8" customWidth="1"/>
    <col min="13831" max="14080" width="9.109375" style="8"/>
    <col min="14081" max="14081" width="64.33203125" style="8" bestFit="1" customWidth="1"/>
    <col min="14082" max="14082" width="11.88671875" style="8" customWidth="1"/>
    <col min="14083" max="14083" width="12.33203125" style="8" customWidth="1"/>
    <col min="14084" max="14084" width="10.88671875" style="8" bestFit="1" customWidth="1"/>
    <col min="14085" max="14085" width="18.33203125" style="8" bestFit="1" customWidth="1"/>
    <col min="14086" max="14086" width="13.33203125" style="8" customWidth="1"/>
    <col min="14087" max="14336" width="9.109375" style="8"/>
    <col min="14337" max="14337" width="64.33203125" style="8" bestFit="1" customWidth="1"/>
    <col min="14338" max="14338" width="11.88671875" style="8" customWidth="1"/>
    <col min="14339" max="14339" width="12.33203125" style="8" customWidth="1"/>
    <col min="14340" max="14340" width="10.88671875" style="8" bestFit="1" customWidth="1"/>
    <col min="14341" max="14341" width="18.33203125" style="8" bestFit="1" customWidth="1"/>
    <col min="14342" max="14342" width="13.33203125" style="8" customWidth="1"/>
    <col min="14343" max="14592" width="9.109375" style="8"/>
    <col min="14593" max="14593" width="64.33203125" style="8" bestFit="1" customWidth="1"/>
    <col min="14594" max="14594" width="11.88671875" style="8" customWidth="1"/>
    <col min="14595" max="14595" width="12.33203125" style="8" customWidth="1"/>
    <col min="14596" max="14596" width="10.88671875" style="8" bestFit="1" customWidth="1"/>
    <col min="14597" max="14597" width="18.33203125" style="8" bestFit="1" customWidth="1"/>
    <col min="14598" max="14598" width="13.33203125" style="8" customWidth="1"/>
    <col min="14599" max="14848" width="9.109375" style="8"/>
    <col min="14849" max="14849" width="64.33203125" style="8" bestFit="1" customWidth="1"/>
    <col min="14850" max="14850" width="11.88671875" style="8" customWidth="1"/>
    <col min="14851" max="14851" width="12.33203125" style="8" customWidth="1"/>
    <col min="14852" max="14852" width="10.88671875" style="8" bestFit="1" customWidth="1"/>
    <col min="14853" max="14853" width="18.33203125" style="8" bestFit="1" customWidth="1"/>
    <col min="14854" max="14854" width="13.33203125" style="8" customWidth="1"/>
    <col min="14855" max="15104" width="9.109375" style="8"/>
    <col min="15105" max="15105" width="64.33203125" style="8" bestFit="1" customWidth="1"/>
    <col min="15106" max="15106" width="11.88671875" style="8" customWidth="1"/>
    <col min="15107" max="15107" width="12.33203125" style="8" customWidth="1"/>
    <col min="15108" max="15108" width="10.88671875" style="8" bestFit="1" customWidth="1"/>
    <col min="15109" max="15109" width="18.33203125" style="8" bestFit="1" customWidth="1"/>
    <col min="15110" max="15110" width="13.33203125" style="8" customWidth="1"/>
    <col min="15111" max="15360" width="9.109375" style="8"/>
    <col min="15361" max="15361" width="64.33203125" style="8" bestFit="1" customWidth="1"/>
    <col min="15362" max="15362" width="11.88671875" style="8" customWidth="1"/>
    <col min="15363" max="15363" width="12.33203125" style="8" customWidth="1"/>
    <col min="15364" max="15364" width="10.88671875" style="8" bestFit="1" customWidth="1"/>
    <col min="15365" max="15365" width="18.33203125" style="8" bestFit="1" customWidth="1"/>
    <col min="15366" max="15366" width="13.33203125" style="8" customWidth="1"/>
    <col min="15367" max="15616" width="9.109375" style="8"/>
    <col min="15617" max="15617" width="64.33203125" style="8" bestFit="1" customWidth="1"/>
    <col min="15618" max="15618" width="11.88671875" style="8" customWidth="1"/>
    <col min="15619" max="15619" width="12.33203125" style="8" customWidth="1"/>
    <col min="15620" max="15620" width="10.88671875" style="8" bestFit="1" customWidth="1"/>
    <col min="15621" max="15621" width="18.33203125" style="8" bestFit="1" customWidth="1"/>
    <col min="15622" max="15622" width="13.33203125" style="8" customWidth="1"/>
    <col min="15623" max="15872" width="9.109375" style="8"/>
    <col min="15873" max="15873" width="64.33203125" style="8" bestFit="1" customWidth="1"/>
    <col min="15874" max="15874" width="11.88671875" style="8" customWidth="1"/>
    <col min="15875" max="15875" width="12.33203125" style="8" customWidth="1"/>
    <col min="15876" max="15876" width="10.88671875" style="8" bestFit="1" customWidth="1"/>
    <col min="15877" max="15877" width="18.33203125" style="8" bestFit="1" customWidth="1"/>
    <col min="15878" max="15878" width="13.33203125" style="8" customWidth="1"/>
    <col min="15879" max="16128" width="9.109375" style="8"/>
    <col min="16129" max="16129" width="64.33203125" style="8" bestFit="1" customWidth="1"/>
    <col min="16130" max="16130" width="11.88671875" style="8" customWidth="1"/>
    <col min="16131" max="16131" width="12.33203125" style="8" customWidth="1"/>
    <col min="16132" max="16132" width="10.88671875" style="8" bestFit="1" customWidth="1"/>
    <col min="16133" max="16133" width="18.33203125" style="8" bestFit="1" customWidth="1"/>
    <col min="16134" max="16134" width="13.33203125" style="8" customWidth="1"/>
    <col min="16135" max="16384" width="9.109375" style="8"/>
  </cols>
  <sheetData>
    <row r="1" spans="1:6" ht="16.5" customHeight="1" x14ac:dyDescent="0.25">
      <c r="B1" s="20"/>
      <c r="C1" s="20"/>
      <c r="D1" s="20"/>
      <c r="E1" s="20"/>
      <c r="F1" s="13" t="s">
        <v>957</v>
      </c>
    </row>
    <row r="2" spans="1:6" ht="15" x14ac:dyDescent="0.25">
      <c r="A2" s="562"/>
      <c r="B2" s="562"/>
      <c r="C2" s="562"/>
      <c r="D2" s="562"/>
      <c r="E2" s="562"/>
    </row>
    <row r="3" spans="1:6" ht="16.8" x14ac:dyDescent="0.3">
      <c r="A3" s="579" t="s">
        <v>928</v>
      </c>
      <c r="B3" s="579"/>
      <c r="C3" s="579"/>
      <c r="D3" s="579"/>
      <c r="E3" s="579"/>
      <c r="F3" s="579"/>
    </row>
    <row r="4" spans="1:6" ht="16.8" x14ac:dyDescent="0.3">
      <c r="A4" s="579" t="s">
        <v>944</v>
      </c>
      <c r="B4" s="579"/>
      <c r="C4" s="579"/>
      <c r="D4" s="579"/>
      <c r="E4" s="579"/>
      <c r="F4" s="579"/>
    </row>
    <row r="5" spans="1:6" ht="16.8" x14ac:dyDescent="0.3">
      <c r="A5" s="580" t="s">
        <v>929</v>
      </c>
      <c r="B5" s="581" t="s">
        <v>930</v>
      </c>
      <c r="C5" s="581"/>
      <c r="D5" s="581"/>
      <c r="E5" s="581"/>
      <c r="F5" s="581"/>
    </row>
    <row r="6" spans="1:6" ht="67.2" x14ac:dyDescent="0.25">
      <c r="A6" s="580"/>
      <c r="B6" s="563" t="s">
        <v>931</v>
      </c>
      <c r="C6" s="563" t="s">
        <v>932</v>
      </c>
      <c r="D6" s="563" t="s">
        <v>933</v>
      </c>
      <c r="E6" s="564" t="s">
        <v>934</v>
      </c>
      <c r="F6" s="564" t="s">
        <v>220</v>
      </c>
    </row>
    <row r="7" spans="1:6" ht="16.8" x14ac:dyDescent="0.3">
      <c r="A7" s="565"/>
      <c r="B7" s="565"/>
      <c r="C7" s="565"/>
      <c r="D7" s="566"/>
      <c r="E7" s="567"/>
      <c r="F7" s="567"/>
    </row>
    <row r="8" spans="1:6" s="397" customFormat="1" ht="16.8" x14ac:dyDescent="0.3">
      <c r="A8" s="568" t="s">
        <v>821</v>
      </c>
      <c r="B8" s="568">
        <f>SUM(B9:B13)</f>
        <v>52</v>
      </c>
      <c r="C8" s="568">
        <f t="shared" ref="C8:F8" si="0">SUM(C9:C13)</f>
        <v>31</v>
      </c>
      <c r="D8" s="568">
        <f t="shared" si="0"/>
        <v>7</v>
      </c>
      <c r="E8" s="568">
        <f t="shared" si="0"/>
        <v>5</v>
      </c>
      <c r="F8" s="568">
        <f t="shared" si="0"/>
        <v>95</v>
      </c>
    </row>
    <row r="9" spans="1:6" ht="16.8" x14ac:dyDescent="0.3">
      <c r="A9" s="565" t="s">
        <v>935</v>
      </c>
      <c r="B9" s="565">
        <v>13</v>
      </c>
      <c r="C9" s="565">
        <v>10</v>
      </c>
      <c r="D9" s="565">
        <v>3</v>
      </c>
      <c r="E9" s="567">
        <v>1</v>
      </c>
      <c r="F9" s="567">
        <f t="shared" ref="F9:F14" si="1">SUM(B9:E9)</f>
        <v>27</v>
      </c>
    </row>
    <row r="10" spans="1:6" ht="16.8" x14ac:dyDescent="0.3">
      <c r="A10" s="565" t="s">
        <v>936</v>
      </c>
      <c r="B10" s="565">
        <v>8</v>
      </c>
      <c r="C10" s="565">
        <v>6</v>
      </c>
      <c r="D10" s="565">
        <v>1</v>
      </c>
      <c r="E10" s="567">
        <v>2</v>
      </c>
      <c r="F10" s="567">
        <f t="shared" si="1"/>
        <v>17</v>
      </c>
    </row>
    <row r="11" spans="1:6" ht="16.8" x14ac:dyDescent="0.3">
      <c r="A11" s="565" t="s">
        <v>937</v>
      </c>
      <c r="B11" s="565">
        <v>12</v>
      </c>
      <c r="C11" s="565">
        <v>9</v>
      </c>
      <c r="D11" s="565">
        <v>2</v>
      </c>
      <c r="E11" s="567">
        <v>1</v>
      </c>
      <c r="F11" s="567">
        <f t="shared" si="1"/>
        <v>24</v>
      </c>
    </row>
    <row r="12" spans="1:6" ht="16.8" x14ac:dyDescent="0.3">
      <c r="A12" s="565" t="s">
        <v>938</v>
      </c>
      <c r="B12" s="565">
        <v>17</v>
      </c>
      <c r="C12" s="565">
        <v>4</v>
      </c>
      <c r="D12" s="565">
        <v>1</v>
      </c>
      <c r="E12" s="567">
        <v>1</v>
      </c>
      <c r="F12" s="567">
        <f t="shared" si="1"/>
        <v>23</v>
      </c>
    </row>
    <row r="13" spans="1:6" ht="16.8" x14ac:dyDescent="0.3">
      <c r="A13" s="565" t="s">
        <v>945</v>
      </c>
      <c r="B13" s="565">
        <v>2</v>
      </c>
      <c r="C13" s="565">
        <v>2</v>
      </c>
      <c r="D13" s="565">
        <v>0</v>
      </c>
      <c r="E13" s="567">
        <v>0</v>
      </c>
      <c r="F13" s="567">
        <f t="shared" si="1"/>
        <v>4</v>
      </c>
    </row>
    <row r="14" spans="1:6" s="397" customFormat="1" ht="16.8" x14ac:dyDescent="0.3">
      <c r="A14" s="568" t="s">
        <v>939</v>
      </c>
      <c r="B14" s="568">
        <v>8</v>
      </c>
      <c r="C14" s="568">
        <v>11</v>
      </c>
      <c r="D14" s="568">
        <v>0</v>
      </c>
      <c r="E14" s="569">
        <v>0</v>
      </c>
      <c r="F14" s="569">
        <f t="shared" si="1"/>
        <v>19</v>
      </c>
    </row>
    <row r="15" spans="1:6" ht="16.8" x14ac:dyDescent="0.3">
      <c r="A15" s="568" t="s">
        <v>44</v>
      </c>
      <c r="B15" s="568">
        <f>SUM(B16:B19)</f>
        <v>85</v>
      </c>
      <c r="C15" s="568">
        <f t="shared" ref="C15:F15" si="2">SUM(C16:C19)</f>
        <v>0</v>
      </c>
      <c r="D15" s="568">
        <f t="shared" si="2"/>
        <v>0</v>
      </c>
      <c r="E15" s="568">
        <f t="shared" si="2"/>
        <v>4</v>
      </c>
      <c r="F15" s="568">
        <f t="shared" si="2"/>
        <v>89</v>
      </c>
    </row>
    <row r="16" spans="1:6" ht="16.8" x14ac:dyDescent="0.3">
      <c r="A16" s="565" t="s">
        <v>940</v>
      </c>
      <c r="B16" s="565">
        <v>72</v>
      </c>
      <c r="C16" s="565">
        <v>0</v>
      </c>
      <c r="D16" s="565">
        <v>0</v>
      </c>
      <c r="E16" s="567">
        <v>4</v>
      </c>
      <c r="F16" s="567">
        <f>SUM(B16:E16)</f>
        <v>76</v>
      </c>
    </row>
    <row r="17" spans="1:6" ht="16.8" x14ac:dyDescent="0.3">
      <c r="A17" s="565" t="s">
        <v>941</v>
      </c>
      <c r="B17" s="565">
        <v>7</v>
      </c>
      <c r="C17" s="565">
        <v>0</v>
      </c>
      <c r="D17" s="565">
        <v>0</v>
      </c>
      <c r="E17" s="567">
        <v>0</v>
      </c>
      <c r="F17" s="567">
        <f>SUM(B17:E17)</f>
        <v>7</v>
      </c>
    </row>
    <row r="18" spans="1:6" ht="16.8" x14ac:dyDescent="0.3">
      <c r="A18" s="565" t="s">
        <v>942</v>
      </c>
      <c r="B18" s="565">
        <v>3</v>
      </c>
      <c r="C18" s="565">
        <v>0</v>
      </c>
      <c r="D18" s="565">
        <v>0</v>
      </c>
      <c r="E18" s="567">
        <v>0</v>
      </c>
      <c r="F18" s="567">
        <f>SUM(B18:E18)</f>
        <v>3</v>
      </c>
    </row>
    <row r="19" spans="1:6" ht="16.8" x14ac:dyDescent="0.3">
      <c r="A19" s="565" t="s">
        <v>943</v>
      </c>
      <c r="B19" s="565">
        <v>3</v>
      </c>
      <c r="C19" s="565">
        <v>0</v>
      </c>
      <c r="D19" s="565">
        <v>0</v>
      </c>
      <c r="E19" s="567">
        <v>0</v>
      </c>
      <c r="F19" s="567">
        <f>SUM(B19:E19)</f>
        <v>3</v>
      </c>
    </row>
    <row r="20" spans="1:6" s="397" customFormat="1" ht="16.8" x14ac:dyDescent="0.3">
      <c r="A20" s="568" t="s">
        <v>30</v>
      </c>
      <c r="B20" s="568">
        <v>13</v>
      </c>
      <c r="C20" s="568">
        <v>0</v>
      </c>
      <c r="D20" s="568">
        <v>17</v>
      </c>
      <c r="E20" s="569">
        <v>1</v>
      </c>
      <c r="F20" s="569">
        <f>SUM(B20:E20)</f>
        <v>31</v>
      </c>
    </row>
    <row r="21" spans="1:6" ht="16.8" x14ac:dyDescent="0.3">
      <c r="A21" s="565"/>
      <c r="B21" s="565"/>
      <c r="C21" s="565"/>
      <c r="D21" s="565"/>
      <c r="E21" s="567"/>
      <c r="F21" s="567"/>
    </row>
    <row r="22" spans="1:6" ht="16.8" x14ac:dyDescent="0.3">
      <c r="A22" s="568" t="s">
        <v>23</v>
      </c>
      <c r="B22" s="570">
        <f>B8+B14+B15+B20</f>
        <v>158</v>
      </c>
      <c r="C22" s="570">
        <f t="shared" ref="C22:F22" si="3">C8+C14+C15+C20</f>
        <v>42</v>
      </c>
      <c r="D22" s="570">
        <f t="shared" si="3"/>
        <v>24</v>
      </c>
      <c r="E22" s="570">
        <f t="shared" si="3"/>
        <v>10</v>
      </c>
      <c r="F22" s="570">
        <f t="shared" si="3"/>
        <v>234</v>
      </c>
    </row>
  </sheetData>
  <mergeCells count="4">
    <mergeCell ref="A3:F3"/>
    <mergeCell ref="A4:F4"/>
    <mergeCell ref="A5:A6"/>
    <mergeCell ref="B5:F5"/>
  </mergeCells>
  <pageMargins left="0.7" right="0.7" top="0.75" bottom="0.75" header="0.3" footer="0.3"/>
  <pageSetup paperSize="9"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1"/>
  <sheetViews>
    <sheetView view="pageBreakPreview" topLeftCell="A10" zoomScale="110" zoomScaleNormal="100" zoomScaleSheetLayoutView="110" workbookViewId="0">
      <selection activeCell="A5" sqref="A5:I31"/>
    </sheetView>
  </sheetViews>
  <sheetFormatPr defaultRowHeight="13.2" x14ac:dyDescent="0.25"/>
  <cols>
    <col min="1" max="1" width="40" style="8" customWidth="1"/>
    <col min="2" max="4" width="10.44140625" style="8" customWidth="1"/>
    <col min="5" max="5" width="4.6640625" style="8" customWidth="1"/>
    <col min="6" max="6" width="32.44140625" style="8" customWidth="1"/>
    <col min="7" max="7" width="10.44140625" style="8" customWidth="1"/>
    <col min="8" max="8" width="10.6640625" style="8" bestFit="1" customWidth="1"/>
    <col min="9" max="9" width="9.88671875" style="8" customWidth="1"/>
    <col min="10" max="239" width="9.109375" style="8"/>
    <col min="240" max="240" width="40" style="8" customWidth="1"/>
    <col min="241" max="241" width="12" style="8" customWidth="1"/>
    <col min="242" max="244" width="10.44140625" style="8" customWidth="1"/>
    <col min="245" max="245" width="11" style="8" customWidth="1"/>
    <col min="246" max="246" width="4.6640625" style="8" customWidth="1"/>
    <col min="247" max="247" width="32.44140625" style="8" customWidth="1"/>
    <col min="248" max="248" width="12" style="8" customWidth="1"/>
    <col min="249" max="251" width="13.5546875" style="8" customWidth="1"/>
    <col min="252" max="252" width="11" style="8" customWidth="1"/>
    <col min="253" max="495" width="9.109375" style="8"/>
    <col min="496" max="496" width="40" style="8" customWidth="1"/>
    <col min="497" max="497" width="12" style="8" customWidth="1"/>
    <col min="498" max="500" width="10.44140625" style="8" customWidth="1"/>
    <col min="501" max="501" width="11" style="8" customWidth="1"/>
    <col min="502" max="502" width="4.6640625" style="8" customWidth="1"/>
    <col min="503" max="503" width="32.44140625" style="8" customWidth="1"/>
    <col min="504" max="504" width="12" style="8" customWidth="1"/>
    <col min="505" max="507" width="13.5546875" style="8" customWidth="1"/>
    <col min="508" max="508" width="11" style="8" customWidth="1"/>
    <col min="509" max="751" width="9.109375" style="8"/>
    <col min="752" max="752" width="40" style="8" customWidth="1"/>
    <col min="753" max="753" width="12" style="8" customWidth="1"/>
    <col min="754" max="756" width="10.44140625" style="8" customWidth="1"/>
    <col min="757" max="757" width="11" style="8" customWidth="1"/>
    <col min="758" max="758" width="4.6640625" style="8" customWidth="1"/>
    <col min="759" max="759" width="32.44140625" style="8" customWidth="1"/>
    <col min="760" max="760" width="12" style="8" customWidth="1"/>
    <col min="761" max="763" width="13.5546875" style="8" customWidth="1"/>
    <col min="764" max="764" width="11" style="8" customWidth="1"/>
    <col min="765" max="1007" width="9.109375" style="8"/>
    <col min="1008" max="1008" width="40" style="8" customWidth="1"/>
    <col min="1009" max="1009" width="12" style="8" customWidth="1"/>
    <col min="1010" max="1012" width="10.44140625" style="8" customWidth="1"/>
    <col min="1013" max="1013" width="11" style="8" customWidth="1"/>
    <col min="1014" max="1014" width="4.6640625" style="8" customWidth="1"/>
    <col min="1015" max="1015" width="32.44140625" style="8" customWidth="1"/>
    <col min="1016" max="1016" width="12" style="8" customWidth="1"/>
    <col min="1017" max="1019" width="13.5546875" style="8" customWidth="1"/>
    <col min="1020" max="1020" width="11" style="8" customWidth="1"/>
    <col min="1021" max="1263" width="9.109375" style="8"/>
    <col min="1264" max="1264" width="40" style="8" customWidth="1"/>
    <col min="1265" max="1265" width="12" style="8" customWidth="1"/>
    <col min="1266" max="1268" width="10.44140625" style="8" customWidth="1"/>
    <col min="1269" max="1269" width="11" style="8" customWidth="1"/>
    <col min="1270" max="1270" width="4.6640625" style="8" customWidth="1"/>
    <col min="1271" max="1271" width="32.44140625" style="8" customWidth="1"/>
    <col min="1272" max="1272" width="12" style="8" customWidth="1"/>
    <col min="1273" max="1275" width="13.5546875" style="8" customWidth="1"/>
    <col min="1276" max="1276" width="11" style="8" customWidth="1"/>
    <col min="1277" max="1519" width="9.109375" style="8"/>
    <col min="1520" max="1520" width="40" style="8" customWidth="1"/>
    <col min="1521" max="1521" width="12" style="8" customWidth="1"/>
    <col min="1522" max="1524" width="10.44140625" style="8" customWidth="1"/>
    <col min="1525" max="1525" width="11" style="8" customWidth="1"/>
    <col min="1526" max="1526" width="4.6640625" style="8" customWidth="1"/>
    <col min="1527" max="1527" width="32.44140625" style="8" customWidth="1"/>
    <col min="1528" max="1528" width="12" style="8" customWidth="1"/>
    <col min="1529" max="1531" width="13.5546875" style="8" customWidth="1"/>
    <col min="1532" max="1532" width="11" style="8" customWidth="1"/>
    <col min="1533" max="1775" width="9.109375" style="8"/>
    <col min="1776" max="1776" width="40" style="8" customWidth="1"/>
    <col min="1777" max="1777" width="12" style="8" customWidth="1"/>
    <col min="1778" max="1780" width="10.44140625" style="8" customWidth="1"/>
    <col min="1781" max="1781" width="11" style="8" customWidth="1"/>
    <col min="1782" max="1782" width="4.6640625" style="8" customWidth="1"/>
    <col min="1783" max="1783" width="32.44140625" style="8" customWidth="1"/>
    <col min="1784" max="1784" width="12" style="8" customWidth="1"/>
    <col min="1785" max="1787" width="13.5546875" style="8" customWidth="1"/>
    <col min="1788" max="1788" width="11" style="8" customWidth="1"/>
    <col min="1789" max="2031" width="9.109375" style="8"/>
    <col min="2032" max="2032" width="40" style="8" customWidth="1"/>
    <col min="2033" max="2033" width="12" style="8" customWidth="1"/>
    <col min="2034" max="2036" width="10.44140625" style="8" customWidth="1"/>
    <col min="2037" max="2037" width="11" style="8" customWidth="1"/>
    <col min="2038" max="2038" width="4.6640625" style="8" customWidth="1"/>
    <col min="2039" max="2039" width="32.44140625" style="8" customWidth="1"/>
    <col min="2040" max="2040" width="12" style="8" customWidth="1"/>
    <col min="2041" max="2043" width="13.5546875" style="8" customWidth="1"/>
    <col min="2044" max="2044" width="11" style="8" customWidth="1"/>
    <col min="2045" max="2287" width="9.109375" style="8"/>
    <col min="2288" max="2288" width="40" style="8" customWidth="1"/>
    <col min="2289" max="2289" width="12" style="8" customWidth="1"/>
    <col min="2290" max="2292" width="10.44140625" style="8" customWidth="1"/>
    <col min="2293" max="2293" width="11" style="8" customWidth="1"/>
    <col min="2294" max="2294" width="4.6640625" style="8" customWidth="1"/>
    <col min="2295" max="2295" width="32.44140625" style="8" customWidth="1"/>
    <col min="2296" max="2296" width="12" style="8" customWidth="1"/>
    <col min="2297" max="2299" width="13.5546875" style="8" customWidth="1"/>
    <col min="2300" max="2300" width="11" style="8" customWidth="1"/>
    <col min="2301" max="2543" width="9.109375" style="8"/>
    <col min="2544" max="2544" width="40" style="8" customWidth="1"/>
    <col min="2545" max="2545" width="12" style="8" customWidth="1"/>
    <col min="2546" max="2548" width="10.44140625" style="8" customWidth="1"/>
    <col min="2549" max="2549" width="11" style="8" customWidth="1"/>
    <col min="2550" max="2550" width="4.6640625" style="8" customWidth="1"/>
    <col min="2551" max="2551" width="32.44140625" style="8" customWidth="1"/>
    <col min="2552" max="2552" width="12" style="8" customWidth="1"/>
    <col min="2553" max="2555" width="13.5546875" style="8" customWidth="1"/>
    <col min="2556" max="2556" width="11" style="8" customWidth="1"/>
    <col min="2557" max="2799" width="9.109375" style="8"/>
    <col min="2800" max="2800" width="40" style="8" customWidth="1"/>
    <col min="2801" max="2801" width="12" style="8" customWidth="1"/>
    <col min="2802" max="2804" width="10.44140625" style="8" customWidth="1"/>
    <col min="2805" max="2805" width="11" style="8" customWidth="1"/>
    <col min="2806" max="2806" width="4.6640625" style="8" customWidth="1"/>
    <col min="2807" max="2807" width="32.44140625" style="8" customWidth="1"/>
    <col min="2808" max="2808" width="12" style="8" customWidth="1"/>
    <col min="2809" max="2811" width="13.5546875" style="8" customWidth="1"/>
    <col min="2812" max="2812" width="11" style="8" customWidth="1"/>
    <col min="2813" max="3055" width="9.109375" style="8"/>
    <col min="3056" max="3056" width="40" style="8" customWidth="1"/>
    <col min="3057" max="3057" width="12" style="8" customWidth="1"/>
    <col min="3058" max="3060" width="10.44140625" style="8" customWidth="1"/>
    <col min="3061" max="3061" width="11" style="8" customWidth="1"/>
    <col min="3062" max="3062" width="4.6640625" style="8" customWidth="1"/>
    <col min="3063" max="3063" width="32.44140625" style="8" customWidth="1"/>
    <col min="3064" max="3064" width="12" style="8" customWidth="1"/>
    <col min="3065" max="3067" width="13.5546875" style="8" customWidth="1"/>
    <col min="3068" max="3068" width="11" style="8" customWidth="1"/>
    <col min="3069" max="3311" width="9.109375" style="8"/>
    <col min="3312" max="3312" width="40" style="8" customWidth="1"/>
    <col min="3313" max="3313" width="12" style="8" customWidth="1"/>
    <col min="3314" max="3316" width="10.44140625" style="8" customWidth="1"/>
    <col min="3317" max="3317" width="11" style="8" customWidth="1"/>
    <col min="3318" max="3318" width="4.6640625" style="8" customWidth="1"/>
    <col min="3319" max="3319" width="32.44140625" style="8" customWidth="1"/>
    <col min="3320" max="3320" width="12" style="8" customWidth="1"/>
    <col min="3321" max="3323" width="13.5546875" style="8" customWidth="1"/>
    <col min="3324" max="3324" width="11" style="8" customWidth="1"/>
    <col min="3325" max="3567" width="9.109375" style="8"/>
    <col min="3568" max="3568" width="40" style="8" customWidth="1"/>
    <col min="3569" max="3569" width="12" style="8" customWidth="1"/>
    <col min="3570" max="3572" width="10.44140625" style="8" customWidth="1"/>
    <col min="3573" max="3573" width="11" style="8" customWidth="1"/>
    <col min="3574" max="3574" width="4.6640625" style="8" customWidth="1"/>
    <col min="3575" max="3575" width="32.44140625" style="8" customWidth="1"/>
    <col min="3576" max="3576" width="12" style="8" customWidth="1"/>
    <col min="3577" max="3579" width="13.5546875" style="8" customWidth="1"/>
    <col min="3580" max="3580" width="11" style="8" customWidth="1"/>
    <col min="3581" max="3823" width="9.109375" style="8"/>
    <col min="3824" max="3824" width="40" style="8" customWidth="1"/>
    <col min="3825" max="3825" width="12" style="8" customWidth="1"/>
    <col min="3826" max="3828" width="10.44140625" style="8" customWidth="1"/>
    <col min="3829" max="3829" width="11" style="8" customWidth="1"/>
    <col min="3830" max="3830" width="4.6640625" style="8" customWidth="1"/>
    <col min="3831" max="3831" width="32.44140625" style="8" customWidth="1"/>
    <col min="3832" max="3832" width="12" style="8" customWidth="1"/>
    <col min="3833" max="3835" width="13.5546875" style="8" customWidth="1"/>
    <col min="3836" max="3836" width="11" style="8" customWidth="1"/>
    <col min="3837" max="4079" width="9.109375" style="8"/>
    <col min="4080" max="4080" width="40" style="8" customWidth="1"/>
    <col min="4081" max="4081" width="12" style="8" customWidth="1"/>
    <col min="4082" max="4084" width="10.44140625" style="8" customWidth="1"/>
    <col min="4085" max="4085" width="11" style="8" customWidth="1"/>
    <col min="4086" max="4086" width="4.6640625" style="8" customWidth="1"/>
    <col min="4087" max="4087" width="32.44140625" style="8" customWidth="1"/>
    <col min="4088" max="4088" width="12" style="8" customWidth="1"/>
    <col min="4089" max="4091" width="13.5546875" style="8" customWidth="1"/>
    <col min="4092" max="4092" width="11" style="8" customWidth="1"/>
    <col min="4093" max="4335" width="9.109375" style="8"/>
    <col min="4336" max="4336" width="40" style="8" customWidth="1"/>
    <col min="4337" max="4337" width="12" style="8" customWidth="1"/>
    <col min="4338" max="4340" width="10.44140625" style="8" customWidth="1"/>
    <col min="4341" max="4341" width="11" style="8" customWidth="1"/>
    <col min="4342" max="4342" width="4.6640625" style="8" customWidth="1"/>
    <col min="4343" max="4343" width="32.44140625" style="8" customWidth="1"/>
    <col min="4344" max="4344" width="12" style="8" customWidth="1"/>
    <col min="4345" max="4347" width="13.5546875" style="8" customWidth="1"/>
    <col min="4348" max="4348" width="11" style="8" customWidth="1"/>
    <col min="4349" max="4591" width="9.109375" style="8"/>
    <col min="4592" max="4592" width="40" style="8" customWidth="1"/>
    <col min="4593" max="4593" width="12" style="8" customWidth="1"/>
    <col min="4594" max="4596" width="10.44140625" style="8" customWidth="1"/>
    <col min="4597" max="4597" width="11" style="8" customWidth="1"/>
    <col min="4598" max="4598" width="4.6640625" style="8" customWidth="1"/>
    <col min="4599" max="4599" width="32.44140625" style="8" customWidth="1"/>
    <col min="4600" max="4600" width="12" style="8" customWidth="1"/>
    <col min="4601" max="4603" width="13.5546875" style="8" customWidth="1"/>
    <col min="4604" max="4604" width="11" style="8" customWidth="1"/>
    <col min="4605" max="4847" width="9.109375" style="8"/>
    <col min="4848" max="4848" width="40" style="8" customWidth="1"/>
    <col min="4849" max="4849" width="12" style="8" customWidth="1"/>
    <col min="4850" max="4852" width="10.44140625" style="8" customWidth="1"/>
    <col min="4853" max="4853" width="11" style="8" customWidth="1"/>
    <col min="4854" max="4854" width="4.6640625" style="8" customWidth="1"/>
    <col min="4855" max="4855" width="32.44140625" style="8" customWidth="1"/>
    <col min="4856" max="4856" width="12" style="8" customWidth="1"/>
    <col min="4857" max="4859" width="13.5546875" style="8" customWidth="1"/>
    <col min="4860" max="4860" width="11" style="8" customWidth="1"/>
    <col min="4861" max="5103" width="9.109375" style="8"/>
    <col min="5104" max="5104" width="40" style="8" customWidth="1"/>
    <col min="5105" max="5105" width="12" style="8" customWidth="1"/>
    <col min="5106" max="5108" width="10.44140625" style="8" customWidth="1"/>
    <col min="5109" max="5109" width="11" style="8" customWidth="1"/>
    <col min="5110" max="5110" width="4.6640625" style="8" customWidth="1"/>
    <col min="5111" max="5111" width="32.44140625" style="8" customWidth="1"/>
    <col min="5112" max="5112" width="12" style="8" customWidth="1"/>
    <col min="5113" max="5115" width="13.5546875" style="8" customWidth="1"/>
    <col min="5116" max="5116" width="11" style="8" customWidth="1"/>
    <col min="5117" max="5359" width="9.109375" style="8"/>
    <col min="5360" max="5360" width="40" style="8" customWidth="1"/>
    <col min="5361" max="5361" width="12" style="8" customWidth="1"/>
    <col min="5362" max="5364" width="10.44140625" style="8" customWidth="1"/>
    <col min="5365" max="5365" width="11" style="8" customWidth="1"/>
    <col min="5366" max="5366" width="4.6640625" style="8" customWidth="1"/>
    <col min="5367" max="5367" width="32.44140625" style="8" customWidth="1"/>
    <col min="5368" max="5368" width="12" style="8" customWidth="1"/>
    <col min="5369" max="5371" width="13.5546875" style="8" customWidth="1"/>
    <col min="5372" max="5372" width="11" style="8" customWidth="1"/>
    <col min="5373" max="5615" width="9.109375" style="8"/>
    <col min="5616" max="5616" width="40" style="8" customWidth="1"/>
    <col min="5617" max="5617" width="12" style="8" customWidth="1"/>
    <col min="5618" max="5620" width="10.44140625" style="8" customWidth="1"/>
    <col min="5621" max="5621" width="11" style="8" customWidth="1"/>
    <col min="5622" max="5622" width="4.6640625" style="8" customWidth="1"/>
    <col min="5623" max="5623" width="32.44140625" style="8" customWidth="1"/>
    <col min="5624" max="5624" width="12" style="8" customWidth="1"/>
    <col min="5625" max="5627" width="13.5546875" style="8" customWidth="1"/>
    <col min="5628" max="5628" width="11" style="8" customWidth="1"/>
    <col min="5629" max="5871" width="9.109375" style="8"/>
    <col min="5872" max="5872" width="40" style="8" customWidth="1"/>
    <col min="5873" max="5873" width="12" style="8" customWidth="1"/>
    <col min="5874" max="5876" width="10.44140625" style="8" customWidth="1"/>
    <col min="5877" max="5877" width="11" style="8" customWidth="1"/>
    <col min="5878" max="5878" width="4.6640625" style="8" customWidth="1"/>
    <col min="5879" max="5879" width="32.44140625" style="8" customWidth="1"/>
    <col min="5880" max="5880" width="12" style="8" customWidth="1"/>
    <col min="5881" max="5883" width="13.5546875" style="8" customWidth="1"/>
    <col min="5884" max="5884" width="11" style="8" customWidth="1"/>
    <col min="5885" max="6127" width="9.109375" style="8"/>
    <col min="6128" max="6128" width="40" style="8" customWidth="1"/>
    <col min="6129" max="6129" width="12" style="8" customWidth="1"/>
    <col min="6130" max="6132" width="10.44140625" style="8" customWidth="1"/>
    <col min="6133" max="6133" width="11" style="8" customWidth="1"/>
    <col min="6134" max="6134" width="4.6640625" style="8" customWidth="1"/>
    <col min="6135" max="6135" width="32.44140625" style="8" customWidth="1"/>
    <col min="6136" max="6136" width="12" style="8" customWidth="1"/>
    <col min="6137" max="6139" width="13.5546875" style="8" customWidth="1"/>
    <col min="6140" max="6140" width="11" style="8" customWidth="1"/>
    <col min="6141" max="6383" width="9.109375" style="8"/>
    <col min="6384" max="6384" width="40" style="8" customWidth="1"/>
    <col min="6385" max="6385" width="12" style="8" customWidth="1"/>
    <col min="6386" max="6388" width="10.44140625" style="8" customWidth="1"/>
    <col min="6389" max="6389" width="11" style="8" customWidth="1"/>
    <col min="6390" max="6390" width="4.6640625" style="8" customWidth="1"/>
    <col min="6391" max="6391" width="32.44140625" style="8" customWidth="1"/>
    <col min="6392" max="6392" width="12" style="8" customWidth="1"/>
    <col min="6393" max="6395" width="13.5546875" style="8" customWidth="1"/>
    <col min="6396" max="6396" width="11" style="8" customWidth="1"/>
    <col min="6397" max="6639" width="9.109375" style="8"/>
    <col min="6640" max="6640" width="40" style="8" customWidth="1"/>
    <col min="6641" max="6641" width="12" style="8" customWidth="1"/>
    <col min="6642" max="6644" width="10.44140625" style="8" customWidth="1"/>
    <col min="6645" max="6645" width="11" style="8" customWidth="1"/>
    <col min="6646" max="6646" width="4.6640625" style="8" customWidth="1"/>
    <col min="6647" max="6647" width="32.44140625" style="8" customWidth="1"/>
    <col min="6648" max="6648" width="12" style="8" customWidth="1"/>
    <col min="6649" max="6651" width="13.5546875" style="8" customWidth="1"/>
    <col min="6652" max="6652" width="11" style="8" customWidth="1"/>
    <col min="6653" max="6895" width="9.109375" style="8"/>
    <col min="6896" max="6896" width="40" style="8" customWidth="1"/>
    <col min="6897" max="6897" width="12" style="8" customWidth="1"/>
    <col min="6898" max="6900" width="10.44140625" style="8" customWidth="1"/>
    <col min="6901" max="6901" width="11" style="8" customWidth="1"/>
    <col min="6902" max="6902" width="4.6640625" style="8" customWidth="1"/>
    <col min="6903" max="6903" width="32.44140625" style="8" customWidth="1"/>
    <col min="6904" max="6904" width="12" style="8" customWidth="1"/>
    <col min="6905" max="6907" width="13.5546875" style="8" customWidth="1"/>
    <col min="6908" max="6908" width="11" style="8" customWidth="1"/>
    <col min="6909" max="7151" width="9.109375" style="8"/>
    <col min="7152" max="7152" width="40" style="8" customWidth="1"/>
    <col min="7153" max="7153" width="12" style="8" customWidth="1"/>
    <col min="7154" max="7156" width="10.44140625" style="8" customWidth="1"/>
    <col min="7157" max="7157" width="11" style="8" customWidth="1"/>
    <col min="7158" max="7158" width="4.6640625" style="8" customWidth="1"/>
    <col min="7159" max="7159" width="32.44140625" style="8" customWidth="1"/>
    <col min="7160" max="7160" width="12" style="8" customWidth="1"/>
    <col min="7161" max="7163" width="13.5546875" style="8" customWidth="1"/>
    <col min="7164" max="7164" width="11" style="8" customWidth="1"/>
    <col min="7165" max="7407" width="9.109375" style="8"/>
    <col min="7408" max="7408" width="40" style="8" customWidth="1"/>
    <col min="7409" max="7409" width="12" style="8" customWidth="1"/>
    <col min="7410" max="7412" width="10.44140625" style="8" customWidth="1"/>
    <col min="7413" max="7413" width="11" style="8" customWidth="1"/>
    <col min="7414" max="7414" width="4.6640625" style="8" customWidth="1"/>
    <col min="7415" max="7415" width="32.44140625" style="8" customWidth="1"/>
    <col min="7416" max="7416" width="12" style="8" customWidth="1"/>
    <col min="7417" max="7419" width="13.5546875" style="8" customWidth="1"/>
    <col min="7420" max="7420" width="11" style="8" customWidth="1"/>
    <col min="7421" max="7663" width="9.109375" style="8"/>
    <col min="7664" max="7664" width="40" style="8" customWidth="1"/>
    <col min="7665" max="7665" width="12" style="8" customWidth="1"/>
    <col min="7666" max="7668" width="10.44140625" style="8" customWidth="1"/>
    <col min="7669" max="7669" width="11" style="8" customWidth="1"/>
    <col min="7670" max="7670" width="4.6640625" style="8" customWidth="1"/>
    <col min="7671" max="7671" width="32.44140625" style="8" customWidth="1"/>
    <col min="7672" max="7672" width="12" style="8" customWidth="1"/>
    <col min="7673" max="7675" width="13.5546875" style="8" customWidth="1"/>
    <col min="7676" max="7676" width="11" style="8" customWidth="1"/>
    <col min="7677" max="7919" width="9.109375" style="8"/>
    <col min="7920" max="7920" width="40" style="8" customWidth="1"/>
    <col min="7921" max="7921" width="12" style="8" customWidth="1"/>
    <col min="7922" max="7924" width="10.44140625" style="8" customWidth="1"/>
    <col min="7925" max="7925" width="11" style="8" customWidth="1"/>
    <col min="7926" max="7926" width="4.6640625" style="8" customWidth="1"/>
    <col min="7927" max="7927" width="32.44140625" style="8" customWidth="1"/>
    <col min="7928" max="7928" width="12" style="8" customWidth="1"/>
    <col min="7929" max="7931" width="13.5546875" style="8" customWidth="1"/>
    <col min="7932" max="7932" width="11" style="8" customWidth="1"/>
    <col min="7933" max="8175" width="9.109375" style="8"/>
    <col min="8176" max="8176" width="40" style="8" customWidth="1"/>
    <col min="8177" max="8177" width="12" style="8" customWidth="1"/>
    <col min="8178" max="8180" width="10.44140625" style="8" customWidth="1"/>
    <col min="8181" max="8181" width="11" style="8" customWidth="1"/>
    <col min="8182" max="8182" width="4.6640625" style="8" customWidth="1"/>
    <col min="8183" max="8183" width="32.44140625" style="8" customWidth="1"/>
    <col min="8184" max="8184" width="12" style="8" customWidth="1"/>
    <col min="8185" max="8187" width="13.5546875" style="8" customWidth="1"/>
    <col min="8188" max="8188" width="11" style="8" customWidth="1"/>
    <col min="8189" max="8431" width="9.109375" style="8"/>
    <col min="8432" max="8432" width="40" style="8" customWidth="1"/>
    <col min="8433" max="8433" width="12" style="8" customWidth="1"/>
    <col min="8434" max="8436" width="10.44140625" style="8" customWidth="1"/>
    <col min="8437" max="8437" width="11" style="8" customWidth="1"/>
    <col min="8438" max="8438" width="4.6640625" style="8" customWidth="1"/>
    <col min="8439" max="8439" width="32.44140625" style="8" customWidth="1"/>
    <col min="8440" max="8440" width="12" style="8" customWidth="1"/>
    <col min="8441" max="8443" width="13.5546875" style="8" customWidth="1"/>
    <col min="8444" max="8444" width="11" style="8" customWidth="1"/>
    <col min="8445" max="8687" width="9.109375" style="8"/>
    <col min="8688" max="8688" width="40" style="8" customWidth="1"/>
    <col min="8689" max="8689" width="12" style="8" customWidth="1"/>
    <col min="8690" max="8692" width="10.44140625" style="8" customWidth="1"/>
    <col min="8693" max="8693" width="11" style="8" customWidth="1"/>
    <col min="8694" max="8694" width="4.6640625" style="8" customWidth="1"/>
    <col min="8695" max="8695" width="32.44140625" style="8" customWidth="1"/>
    <col min="8696" max="8696" width="12" style="8" customWidth="1"/>
    <col min="8697" max="8699" width="13.5546875" style="8" customWidth="1"/>
    <col min="8700" max="8700" width="11" style="8" customWidth="1"/>
    <col min="8701" max="8943" width="9.109375" style="8"/>
    <col min="8944" max="8944" width="40" style="8" customWidth="1"/>
    <col min="8945" max="8945" width="12" style="8" customWidth="1"/>
    <col min="8946" max="8948" width="10.44140625" style="8" customWidth="1"/>
    <col min="8949" max="8949" width="11" style="8" customWidth="1"/>
    <col min="8950" max="8950" width="4.6640625" style="8" customWidth="1"/>
    <col min="8951" max="8951" width="32.44140625" style="8" customWidth="1"/>
    <col min="8952" max="8952" width="12" style="8" customWidth="1"/>
    <col min="8953" max="8955" width="13.5546875" style="8" customWidth="1"/>
    <col min="8956" max="8956" width="11" style="8" customWidth="1"/>
    <col min="8957" max="9199" width="9.109375" style="8"/>
    <col min="9200" max="9200" width="40" style="8" customWidth="1"/>
    <col min="9201" max="9201" width="12" style="8" customWidth="1"/>
    <col min="9202" max="9204" width="10.44140625" style="8" customWidth="1"/>
    <col min="9205" max="9205" width="11" style="8" customWidth="1"/>
    <col min="9206" max="9206" width="4.6640625" style="8" customWidth="1"/>
    <col min="9207" max="9207" width="32.44140625" style="8" customWidth="1"/>
    <col min="9208" max="9208" width="12" style="8" customWidth="1"/>
    <col min="9209" max="9211" width="13.5546875" style="8" customWidth="1"/>
    <col min="9212" max="9212" width="11" style="8" customWidth="1"/>
    <col min="9213" max="9455" width="9.109375" style="8"/>
    <col min="9456" max="9456" width="40" style="8" customWidth="1"/>
    <col min="9457" max="9457" width="12" style="8" customWidth="1"/>
    <col min="9458" max="9460" width="10.44140625" style="8" customWidth="1"/>
    <col min="9461" max="9461" width="11" style="8" customWidth="1"/>
    <col min="9462" max="9462" width="4.6640625" style="8" customWidth="1"/>
    <col min="9463" max="9463" width="32.44140625" style="8" customWidth="1"/>
    <col min="9464" max="9464" width="12" style="8" customWidth="1"/>
    <col min="9465" max="9467" width="13.5546875" style="8" customWidth="1"/>
    <col min="9468" max="9468" width="11" style="8" customWidth="1"/>
    <col min="9469" max="9711" width="9.109375" style="8"/>
    <col min="9712" max="9712" width="40" style="8" customWidth="1"/>
    <col min="9713" max="9713" width="12" style="8" customWidth="1"/>
    <col min="9714" max="9716" width="10.44140625" style="8" customWidth="1"/>
    <col min="9717" max="9717" width="11" style="8" customWidth="1"/>
    <col min="9718" max="9718" width="4.6640625" style="8" customWidth="1"/>
    <col min="9719" max="9719" width="32.44140625" style="8" customWidth="1"/>
    <col min="9720" max="9720" width="12" style="8" customWidth="1"/>
    <col min="9721" max="9723" width="13.5546875" style="8" customWidth="1"/>
    <col min="9724" max="9724" width="11" style="8" customWidth="1"/>
    <col min="9725" max="9967" width="9.109375" style="8"/>
    <col min="9968" max="9968" width="40" style="8" customWidth="1"/>
    <col min="9969" max="9969" width="12" style="8" customWidth="1"/>
    <col min="9970" max="9972" width="10.44140625" style="8" customWidth="1"/>
    <col min="9973" max="9973" width="11" style="8" customWidth="1"/>
    <col min="9974" max="9974" width="4.6640625" style="8" customWidth="1"/>
    <col min="9975" max="9975" width="32.44140625" style="8" customWidth="1"/>
    <col min="9976" max="9976" width="12" style="8" customWidth="1"/>
    <col min="9977" max="9979" width="13.5546875" style="8" customWidth="1"/>
    <col min="9980" max="9980" width="11" style="8" customWidth="1"/>
    <col min="9981" max="10223" width="9.109375" style="8"/>
    <col min="10224" max="10224" width="40" style="8" customWidth="1"/>
    <col min="10225" max="10225" width="12" style="8" customWidth="1"/>
    <col min="10226" max="10228" width="10.44140625" style="8" customWidth="1"/>
    <col min="10229" max="10229" width="11" style="8" customWidth="1"/>
    <col min="10230" max="10230" width="4.6640625" style="8" customWidth="1"/>
    <col min="10231" max="10231" width="32.44140625" style="8" customWidth="1"/>
    <col min="10232" max="10232" width="12" style="8" customWidth="1"/>
    <col min="10233" max="10235" width="13.5546875" style="8" customWidth="1"/>
    <col min="10236" max="10236" width="11" style="8" customWidth="1"/>
    <col min="10237" max="10479" width="9.109375" style="8"/>
    <col min="10480" max="10480" width="40" style="8" customWidth="1"/>
    <col min="10481" max="10481" width="12" style="8" customWidth="1"/>
    <col min="10482" max="10484" width="10.44140625" style="8" customWidth="1"/>
    <col min="10485" max="10485" width="11" style="8" customWidth="1"/>
    <col min="10486" max="10486" width="4.6640625" style="8" customWidth="1"/>
    <col min="10487" max="10487" width="32.44140625" style="8" customWidth="1"/>
    <col min="10488" max="10488" width="12" style="8" customWidth="1"/>
    <col min="10489" max="10491" width="13.5546875" style="8" customWidth="1"/>
    <col min="10492" max="10492" width="11" style="8" customWidth="1"/>
    <col min="10493" max="10735" width="9.109375" style="8"/>
    <col min="10736" max="10736" width="40" style="8" customWidth="1"/>
    <col min="10737" max="10737" width="12" style="8" customWidth="1"/>
    <col min="10738" max="10740" width="10.44140625" style="8" customWidth="1"/>
    <col min="10741" max="10741" width="11" style="8" customWidth="1"/>
    <col min="10742" max="10742" width="4.6640625" style="8" customWidth="1"/>
    <col min="10743" max="10743" width="32.44140625" style="8" customWidth="1"/>
    <col min="10744" max="10744" width="12" style="8" customWidth="1"/>
    <col min="10745" max="10747" width="13.5546875" style="8" customWidth="1"/>
    <col min="10748" max="10748" width="11" style="8" customWidth="1"/>
    <col min="10749" max="10991" width="9.109375" style="8"/>
    <col min="10992" max="10992" width="40" style="8" customWidth="1"/>
    <col min="10993" max="10993" width="12" style="8" customWidth="1"/>
    <col min="10994" max="10996" width="10.44140625" style="8" customWidth="1"/>
    <col min="10997" max="10997" width="11" style="8" customWidth="1"/>
    <col min="10998" max="10998" width="4.6640625" style="8" customWidth="1"/>
    <col min="10999" max="10999" width="32.44140625" style="8" customWidth="1"/>
    <col min="11000" max="11000" width="12" style="8" customWidth="1"/>
    <col min="11001" max="11003" width="13.5546875" style="8" customWidth="1"/>
    <col min="11004" max="11004" width="11" style="8" customWidth="1"/>
    <col min="11005" max="11247" width="9.109375" style="8"/>
    <col min="11248" max="11248" width="40" style="8" customWidth="1"/>
    <col min="11249" max="11249" width="12" style="8" customWidth="1"/>
    <col min="11250" max="11252" width="10.44140625" style="8" customWidth="1"/>
    <col min="11253" max="11253" width="11" style="8" customWidth="1"/>
    <col min="11254" max="11254" width="4.6640625" style="8" customWidth="1"/>
    <col min="11255" max="11255" width="32.44140625" style="8" customWidth="1"/>
    <col min="11256" max="11256" width="12" style="8" customWidth="1"/>
    <col min="11257" max="11259" width="13.5546875" style="8" customWidth="1"/>
    <col min="11260" max="11260" width="11" style="8" customWidth="1"/>
    <col min="11261" max="11503" width="9.109375" style="8"/>
    <col min="11504" max="11504" width="40" style="8" customWidth="1"/>
    <col min="11505" max="11505" width="12" style="8" customWidth="1"/>
    <col min="11506" max="11508" width="10.44140625" style="8" customWidth="1"/>
    <col min="11509" max="11509" width="11" style="8" customWidth="1"/>
    <col min="11510" max="11510" width="4.6640625" style="8" customWidth="1"/>
    <col min="11511" max="11511" width="32.44140625" style="8" customWidth="1"/>
    <col min="11512" max="11512" width="12" style="8" customWidth="1"/>
    <col min="11513" max="11515" width="13.5546875" style="8" customWidth="1"/>
    <col min="11516" max="11516" width="11" style="8" customWidth="1"/>
    <col min="11517" max="11759" width="9.109375" style="8"/>
    <col min="11760" max="11760" width="40" style="8" customWidth="1"/>
    <col min="11761" max="11761" width="12" style="8" customWidth="1"/>
    <col min="11762" max="11764" width="10.44140625" style="8" customWidth="1"/>
    <col min="11765" max="11765" width="11" style="8" customWidth="1"/>
    <col min="11766" max="11766" width="4.6640625" style="8" customWidth="1"/>
    <col min="11767" max="11767" width="32.44140625" style="8" customWidth="1"/>
    <col min="11768" max="11768" width="12" style="8" customWidth="1"/>
    <col min="11769" max="11771" width="13.5546875" style="8" customWidth="1"/>
    <col min="11772" max="11772" width="11" style="8" customWidth="1"/>
    <col min="11773" max="12015" width="9.109375" style="8"/>
    <col min="12016" max="12016" width="40" style="8" customWidth="1"/>
    <col min="12017" max="12017" width="12" style="8" customWidth="1"/>
    <col min="12018" max="12020" width="10.44140625" style="8" customWidth="1"/>
    <col min="12021" max="12021" width="11" style="8" customWidth="1"/>
    <col min="12022" max="12022" width="4.6640625" style="8" customWidth="1"/>
    <col min="12023" max="12023" width="32.44140625" style="8" customWidth="1"/>
    <col min="12024" max="12024" width="12" style="8" customWidth="1"/>
    <col min="12025" max="12027" width="13.5546875" style="8" customWidth="1"/>
    <col min="12028" max="12028" width="11" style="8" customWidth="1"/>
    <col min="12029" max="12271" width="9.109375" style="8"/>
    <col min="12272" max="12272" width="40" style="8" customWidth="1"/>
    <col min="12273" max="12273" width="12" style="8" customWidth="1"/>
    <col min="12274" max="12276" width="10.44140625" style="8" customWidth="1"/>
    <col min="12277" max="12277" width="11" style="8" customWidth="1"/>
    <col min="12278" max="12278" width="4.6640625" style="8" customWidth="1"/>
    <col min="12279" max="12279" width="32.44140625" style="8" customWidth="1"/>
    <col min="12280" max="12280" width="12" style="8" customWidth="1"/>
    <col min="12281" max="12283" width="13.5546875" style="8" customWidth="1"/>
    <col min="12284" max="12284" width="11" style="8" customWidth="1"/>
    <col min="12285" max="12527" width="9.109375" style="8"/>
    <col min="12528" max="12528" width="40" style="8" customWidth="1"/>
    <col min="12529" max="12529" width="12" style="8" customWidth="1"/>
    <col min="12530" max="12532" width="10.44140625" style="8" customWidth="1"/>
    <col min="12533" max="12533" width="11" style="8" customWidth="1"/>
    <col min="12534" max="12534" width="4.6640625" style="8" customWidth="1"/>
    <col min="12535" max="12535" width="32.44140625" style="8" customWidth="1"/>
    <col min="12536" max="12536" width="12" style="8" customWidth="1"/>
    <col min="12537" max="12539" width="13.5546875" style="8" customWidth="1"/>
    <col min="12540" max="12540" width="11" style="8" customWidth="1"/>
    <col min="12541" max="12783" width="9.109375" style="8"/>
    <col min="12784" max="12784" width="40" style="8" customWidth="1"/>
    <col min="12785" max="12785" width="12" style="8" customWidth="1"/>
    <col min="12786" max="12788" width="10.44140625" style="8" customWidth="1"/>
    <col min="12789" max="12789" width="11" style="8" customWidth="1"/>
    <col min="12790" max="12790" width="4.6640625" style="8" customWidth="1"/>
    <col min="12791" max="12791" width="32.44140625" style="8" customWidth="1"/>
    <col min="12792" max="12792" width="12" style="8" customWidth="1"/>
    <col min="12793" max="12795" width="13.5546875" style="8" customWidth="1"/>
    <col min="12796" max="12796" width="11" style="8" customWidth="1"/>
    <col min="12797" max="13039" width="9.109375" style="8"/>
    <col min="13040" max="13040" width="40" style="8" customWidth="1"/>
    <col min="13041" max="13041" width="12" style="8" customWidth="1"/>
    <col min="13042" max="13044" width="10.44140625" style="8" customWidth="1"/>
    <col min="13045" max="13045" width="11" style="8" customWidth="1"/>
    <col min="13046" max="13046" width="4.6640625" style="8" customWidth="1"/>
    <col min="13047" max="13047" width="32.44140625" style="8" customWidth="1"/>
    <col min="13048" max="13048" width="12" style="8" customWidth="1"/>
    <col min="13049" max="13051" width="13.5546875" style="8" customWidth="1"/>
    <col min="13052" max="13052" width="11" style="8" customWidth="1"/>
    <col min="13053" max="13295" width="9.109375" style="8"/>
    <col min="13296" max="13296" width="40" style="8" customWidth="1"/>
    <col min="13297" max="13297" width="12" style="8" customWidth="1"/>
    <col min="13298" max="13300" width="10.44140625" style="8" customWidth="1"/>
    <col min="13301" max="13301" width="11" style="8" customWidth="1"/>
    <col min="13302" max="13302" width="4.6640625" style="8" customWidth="1"/>
    <col min="13303" max="13303" width="32.44140625" style="8" customWidth="1"/>
    <col min="13304" max="13304" width="12" style="8" customWidth="1"/>
    <col min="13305" max="13307" width="13.5546875" style="8" customWidth="1"/>
    <col min="13308" max="13308" width="11" style="8" customWidth="1"/>
    <col min="13309" max="13551" width="9.109375" style="8"/>
    <col min="13552" max="13552" width="40" style="8" customWidth="1"/>
    <col min="13553" max="13553" width="12" style="8" customWidth="1"/>
    <col min="13554" max="13556" width="10.44140625" style="8" customWidth="1"/>
    <col min="13557" max="13557" width="11" style="8" customWidth="1"/>
    <col min="13558" max="13558" width="4.6640625" style="8" customWidth="1"/>
    <col min="13559" max="13559" width="32.44140625" style="8" customWidth="1"/>
    <col min="13560" max="13560" width="12" style="8" customWidth="1"/>
    <col min="13561" max="13563" width="13.5546875" style="8" customWidth="1"/>
    <col min="13564" max="13564" width="11" style="8" customWidth="1"/>
    <col min="13565" max="13807" width="9.109375" style="8"/>
    <col min="13808" max="13808" width="40" style="8" customWidth="1"/>
    <col min="13809" max="13809" width="12" style="8" customWidth="1"/>
    <col min="13810" max="13812" width="10.44140625" style="8" customWidth="1"/>
    <col min="13813" max="13813" width="11" style="8" customWidth="1"/>
    <col min="13814" max="13814" width="4.6640625" style="8" customWidth="1"/>
    <col min="13815" max="13815" width="32.44140625" style="8" customWidth="1"/>
    <col min="13816" max="13816" width="12" style="8" customWidth="1"/>
    <col min="13817" max="13819" width="13.5546875" style="8" customWidth="1"/>
    <col min="13820" max="13820" width="11" style="8" customWidth="1"/>
    <col min="13821" max="14063" width="9.109375" style="8"/>
    <col min="14064" max="14064" width="40" style="8" customWidth="1"/>
    <col min="14065" max="14065" width="12" style="8" customWidth="1"/>
    <col min="14066" max="14068" width="10.44140625" style="8" customWidth="1"/>
    <col min="14069" max="14069" width="11" style="8" customWidth="1"/>
    <col min="14070" max="14070" width="4.6640625" style="8" customWidth="1"/>
    <col min="14071" max="14071" width="32.44140625" style="8" customWidth="1"/>
    <col min="14072" max="14072" width="12" style="8" customWidth="1"/>
    <col min="14073" max="14075" width="13.5546875" style="8" customWidth="1"/>
    <col min="14076" max="14076" width="11" style="8" customWidth="1"/>
    <col min="14077" max="14319" width="9.109375" style="8"/>
    <col min="14320" max="14320" width="40" style="8" customWidth="1"/>
    <col min="14321" max="14321" width="12" style="8" customWidth="1"/>
    <col min="14322" max="14324" width="10.44140625" style="8" customWidth="1"/>
    <col min="14325" max="14325" width="11" style="8" customWidth="1"/>
    <col min="14326" max="14326" width="4.6640625" style="8" customWidth="1"/>
    <col min="14327" max="14327" width="32.44140625" style="8" customWidth="1"/>
    <col min="14328" max="14328" width="12" style="8" customWidth="1"/>
    <col min="14329" max="14331" width="13.5546875" style="8" customWidth="1"/>
    <col min="14332" max="14332" width="11" style="8" customWidth="1"/>
    <col min="14333" max="14575" width="9.109375" style="8"/>
    <col min="14576" max="14576" width="40" style="8" customWidth="1"/>
    <col min="14577" max="14577" width="12" style="8" customWidth="1"/>
    <col min="14578" max="14580" width="10.44140625" style="8" customWidth="1"/>
    <col min="14581" max="14581" width="11" style="8" customWidth="1"/>
    <col min="14582" max="14582" width="4.6640625" style="8" customWidth="1"/>
    <col min="14583" max="14583" width="32.44140625" style="8" customWidth="1"/>
    <col min="14584" max="14584" width="12" style="8" customWidth="1"/>
    <col min="14585" max="14587" width="13.5546875" style="8" customWidth="1"/>
    <col min="14588" max="14588" width="11" style="8" customWidth="1"/>
    <col min="14589" max="14831" width="9.109375" style="8"/>
    <col min="14832" max="14832" width="40" style="8" customWidth="1"/>
    <col min="14833" max="14833" width="12" style="8" customWidth="1"/>
    <col min="14834" max="14836" width="10.44140625" style="8" customWidth="1"/>
    <col min="14837" max="14837" width="11" style="8" customWidth="1"/>
    <col min="14838" max="14838" width="4.6640625" style="8" customWidth="1"/>
    <col min="14839" max="14839" width="32.44140625" style="8" customWidth="1"/>
    <col min="14840" max="14840" width="12" style="8" customWidth="1"/>
    <col min="14841" max="14843" width="13.5546875" style="8" customWidth="1"/>
    <col min="14844" max="14844" width="11" style="8" customWidth="1"/>
    <col min="14845" max="15087" width="9.109375" style="8"/>
    <col min="15088" max="15088" width="40" style="8" customWidth="1"/>
    <col min="15089" max="15089" width="12" style="8" customWidth="1"/>
    <col min="15090" max="15092" width="10.44140625" style="8" customWidth="1"/>
    <col min="15093" max="15093" width="11" style="8" customWidth="1"/>
    <col min="15094" max="15094" width="4.6640625" style="8" customWidth="1"/>
    <col min="15095" max="15095" width="32.44140625" style="8" customWidth="1"/>
    <col min="15096" max="15096" width="12" style="8" customWidth="1"/>
    <col min="15097" max="15099" width="13.5546875" style="8" customWidth="1"/>
    <col min="15100" max="15100" width="11" style="8" customWidth="1"/>
    <col min="15101" max="15343" width="9.109375" style="8"/>
    <col min="15344" max="15344" width="40" style="8" customWidth="1"/>
    <col min="15345" max="15345" width="12" style="8" customWidth="1"/>
    <col min="15346" max="15348" width="10.44140625" style="8" customWidth="1"/>
    <col min="15349" max="15349" width="11" style="8" customWidth="1"/>
    <col min="15350" max="15350" width="4.6640625" style="8" customWidth="1"/>
    <col min="15351" max="15351" width="32.44140625" style="8" customWidth="1"/>
    <col min="15352" max="15352" width="12" style="8" customWidth="1"/>
    <col min="15353" max="15355" width="13.5546875" style="8" customWidth="1"/>
    <col min="15356" max="15356" width="11" style="8" customWidth="1"/>
    <col min="15357" max="15599" width="9.109375" style="8"/>
    <col min="15600" max="15600" width="40" style="8" customWidth="1"/>
    <col min="15601" max="15601" width="12" style="8" customWidth="1"/>
    <col min="15602" max="15604" width="10.44140625" style="8" customWidth="1"/>
    <col min="15605" max="15605" width="11" style="8" customWidth="1"/>
    <col min="15606" max="15606" width="4.6640625" style="8" customWidth="1"/>
    <col min="15607" max="15607" width="32.44140625" style="8" customWidth="1"/>
    <col min="15608" max="15608" width="12" style="8" customWidth="1"/>
    <col min="15609" max="15611" width="13.5546875" style="8" customWidth="1"/>
    <col min="15612" max="15612" width="11" style="8" customWidth="1"/>
    <col min="15613" max="15855" width="9.109375" style="8"/>
    <col min="15856" max="15856" width="40" style="8" customWidth="1"/>
    <col min="15857" max="15857" width="12" style="8" customWidth="1"/>
    <col min="15858" max="15860" width="10.44140625" style="8" customWidth="1"/>
    <col min="15861" max="15861" width="11" style="8" customWidth="1"/>
    <col min="15862" max="15862" width="4.6640625" style="8" customWidth="1"/>
    <col min="15863" max="15863" width="32.44140625" style="8" customWidth="1"/>
    <col min="15864" max="15864" width="12" style="8" customWidth="1"/>
    <col min="15865" max="15867" width="13.5546875" style="8" customWidth="1"/>
    <col min="15868" max="15868" width="11" style="8" customWidth="1"/>
    <col min="15869" max="16111" width="9.109375" style="8"/>
    <col min="16112" max="16112" width="40" style="8" customWidth="1"/>
    <col min="16113" max="16113" width="12" style="8" customWidth="1"/>
    <col min="16114" max="16116" width="10.44140625" style="8" customWidth="1"/>
    <col min="16117" max="16117" width="11" style="8" customWidth="1"/>
    <col min="16118" max="16118" width="4.6640625" style="8" customWidth="1"/>
    <col min="16119" max="16119" width="32.44140625" style="8" customWidth="1"/>
    <col min="16120" max="16120" width="12" style="8" customWidth="1"/>
    <col min="16121" max="16123" width="13.5546875" style="8" customWidth="1"/>
    <col min="16124" max="16124" width="11" style="8" customWidth="1"/>
    <col min="16125" max="16379" width="9.109375" style="8"/>
    <col min="16380" max="16384" width="8.88671875" style="8" customWidth="1"/>
  </cols>
  <sheetData>
    <row r="1" spans="1:9" ht="15.6" customHeight="1" x14ac:dyDescent="0.25">
      <c r="A1" s="7"/>
      <c r="B1" s="7"/>
      <c r="C1" s="7"/>
      <c r="D1" s="7"/>
      <c r="E1" s="7"/>
      <c r="F1" s="7"/>
      <c r="G1" s="7"/>
      <c r="H1" s="7"/>
      <c r="I1" s="13" t="s">
        <v>958</v>
      </c>
    </row>
    <row r="2" spans="1:9" ht="12.75" customHeight="1" x14ac:dyDescent="0.25">
      <c r="A2" s="582" t="s">
        <v>98</v>
      </c>
      <c r="B2" s="582"/>
      <c r="C2" s="582"/>
      <c r="D2" s="582"/>
      <c r="E2" s="582"/>
      <c r="F2" s="582"/>
      <c r="G2" s="582"/>
      <c r="H2" s="582"/>
      <c r="I2" s="582"/>
    </row>
    <row r="3" spans="1:9" x14ac:dyDescent="0.25">
      <c r="A3" s="583" t="s">
        <v>959</v>
      </c>
      <c r="B3" s="583"/>
      <c r="C3" s="583"/>
      <c r="D3" s="583"/>
      <c r="E3" s="583"/>
      <c r="F3" s="583"/>
      <c r="G3" s="583"/>
      <c r="H3" s="583"/>
      <c r="I3" s="583"/>
    </row>
    <row r="4" spans="1:9" x14ac:dyDescent="0.25">
      <c r="A4" s="526"/>
      <c r="B4" s="527"/>
      <c r="C4" s="527"/>
      <c r="D4" s="527"/>
      <c r="E4" s="527"/>
      <c r="F4" s="526"/>
      <c r="G4" s="528"/>
    </row>
    <row r="5" spans="1:9" x14ac:dyDescent="0.25">
      <c r="A5" s="529" t="s">
        <v>99</v>
      </c>
      <c r="B5" s="530"/>
      <c r="C5" s="530"/>
      <c r="D5" s="530"/>
      <c r="E5" s="531"/>
      <c r="F5" s="529" t="s">
        <v>100</v>
      </c>
      <c r="G5" s="532"/>
      <c r="H5" s="10"/>
      <c r="I5" s="10"/>
    </row>
    <row r="6" spans="1:9" x14ac:dyDescent="0.25">
      <c r="A6" s="533"/>
      <c r="B6" s="534" t="s">
        <v>239</v>
      </c>
      <c r="C6" s="534" t="s">
        <v>240</v>
      </c>
      <c r="D6" s="534" t="s">
        <v>241</v>
      </c>
      <c r="E6" s="535"/>
      <c r="F6" s="533"/>
      <c r="G6" s="534" t="s">
        <v>239</v>
      </c>
      <c r="H6" s="534" t="s">
        <v>240</v>
      </c>
      <c r="I6" s="534" t="s">
        <v>241</v>
      </c>
    </row>
    <row r="7" spans="1:9" x14ac:dyDescent="0.25">
      <c r="A7" s="529"/>
      <c r="B7" s="536" t="s">
        <v>24</v>
      </c>
      <c r="C7" s="536" t="s">
        <v>24</v>
      </c>
      <c r="D7" s="536" t="s">
        <v>24</v>
      </c>
      <c r="E7" s="537"/>
      <c r="F7" s="538"/>
      <c r="G7" s="536" t="s">
        <v>24</v>
      </c>
      <c r="H7" s="536" t="s">
        <v>24</v>
      </c>
      <c r="I7" s="536" t="s">
        <v>24</v>
      </c>
    </row>
    <row r="8" spans="1:9" x14ac:dyDescent="0.25">
      <c r="A8" s="539" t="s">
        <v>86</v>
      </c>
      <c r="B8" s="540">
        <v>503128</v>
      </c>
      <c r="C8" s="540">
        <v>442481</v>
      </c>
      <c r="D8" s="540">
        <f>'1. melléklet'!D10+'1. melléklet'!D16+'1. melléklet'!D24+'1. melléklet'!D44</f>
        <v>215568</v>
      </c>
      <c r="E8" s="540"/>
      <c r="F8" s="539" t="s">
        <v>21</v>
      </c>
      <c r="G8" s="541">
        <v>845024</v>
      </c>
      <c r="H8" s="541">
        <v>1034797</v>
      </c>
      <c r="I8" s="541">
        <f>'2. mell. 1. pont'!D10+'2. mell. 1. pont'!D20+'2. mell. 1. pont'!D32+'2. mell. 1. pont'!D54</f>
        <v>1016701</v>
      </c>
    </row>
    <row r="9" spans="1:9" x14ac:dyDescent="0.25">
      <c r="A9" s="539" t="s">
        <v>56</v>
      </c>
      <c r="B9" s="540">
        <v>749267</v>
      </c>
      <c r="C9" s="540">
        <v>907000</v>
      </c>
      <c r="D9" s="540">
        <f>'1. melléklet'!D59</f>
        <v>1098159</v>
      </c>
      <c r="E9" s="540"/>
      <c r="F9" s="539" t="s">
        <v>101</v>
      </c>
      <c r="G9" s="541">
        <v>129866</v>
      </c>
      <c r="H9" s="541">
        <v>141632</v>
      </c>
      <c r="I9" s="541">
        <f>'2. mell. 1. pont'!D11+'2. mell. 1. pont'!D21+'2. mell. 1. pont'!D33+'2. mell. 1. pont'!D64</f>
        <v>98800</v>
      </c>
    </row>
    <row r="10" spans="1:9" x14ac:dyDescent="0.25">
      <c r="A10" s="539" t="s">
        <v>102</v>
      </c>
      <c r="B10" s="540">
        <v>1629102</v>
      </c>
      <c r="C10" s="540">
        <v>1806237</v>
      </c>
      <c r="D10" s="540">
        <f>'1. melléklet'!D71</f>
        <v>1719969</v>
      </c>
      <c r="E10" s="540"/>
      <c r="F10" s="539" t="s">
        <v>26</v>
      </c>
      <c r="G10" s="541">
        <v>1425347</v>
      </c>
      <c r="H10" s="541">
        <v>1716307</v>
      </c>
      <c r="I10" s="541">
        <f>'2. mell. 1. pont'!D12+'2. mell. 1. pont'!D22+'2. mell. 1. pont'!D34+'2. mell. 1. pont'!D122</f>
        <v>1688600</v>
      </c>
    </row>
    <row r="11" spans="1:9" ht="24" x14ac:dyDescent="0.25">
      <c r="A11" s="539" t="s">
        <v>155</v>
      </c>
      <c r="B11" s="540">
        <v>182623</v>
      </c>
      <c r="C11" s="540">
        <v>199582</v>
      </c>
      <c r="D11" s="540">
        <f>'1. melléklet'!D103</f>
        <v>137576</v>
      </c>
      <c r="E11" s="540"/>
      <c r="F11" s="542" t="s">
        <v>131</v>
      </c>
      <c r="G11" s="541">
        <v>570133</v>
      </c>
      <c r="H11" s="541">
        <v>596918</v>
      </c>
      <c r="I11" s="541">
        <f>'2. mell. 1. pont'!D146+'2. mell. 1. pont'!D160+'2. mell. 1. pont'!D169+'2. mell. 1. pont'!D173</f>
        <v>566808</v>
      </c>
    </row>
    <row r="12" spans="1:9" x14ac:dyDescent="0.25">
      <c r="A12" s="539" t="s">
        <v>199</v>
      </c>
      <c r="B12" s="540">
        <v>3000</v>
      </c>
      <c r="C12" s="540">
        <v>12211</v>
      </c>
      <c r="D12" s="540">
        <f>'1. melléklet'!D126</f>
        <v>4760</v>
      </c>
      <c r="E12" s="540"/>
      <c r="F12" s="539" t="s">
        <v>45</v>
      </c>
      <c r="G12" s="541">
        <v>18207</v>
      </c>
      <c r="H12" s="541">
        <v>20290</v>
      </c>
      <c r="I12" s="541">
        <f>'2. mell. 1. pont'!D136</f>
        <v>15000</v>
      </c>
    </row>
    <row r="13" spans="1:9" x14ac:dyDescent="0.25">
      <c r="A13" s="539" t="s">
        <v>103</v>
      </c>
      <c r="B13" s="540">
        <v>14596</v>
      </c>
      <c r="C13" s="540">
        <v>23000</v>
      </c>
      <c r="D13" s="540">
        <f>'1. melléklet'!D145</f>
        <v>23000</v>
      </c>
      <c r="E13" s="540"/>
      <c r="F13" s="539" t="s">
        <v>107</v>
      </c>
      <c r="G13" s="541">
        <v>0</v>
      </c>
      <c r="H13" s="541">
        <v>9000</v>
      </c>
      <c r="I13" s="541">
        <v>0</v>
      </c>
    </row>
    <row r="14" spans="1:9" x14ac:dyDescent="0.25">
      <c r="A14" s="539" t="s">
        <v>105</v>
      </c>
      <c r="B14" s="540">
        <v>176796</v>
      </c>
      <c r="C14" s="540">
        <v>313937</v>
      </c>
      <c r="D14" s="540">
        <f>'1. melléklet'!D160</f>
        <v>1194</v>
      </c>
      <c r="E14" s="540"/>
      <c r="F14" s="539" t="s">
        <v>109</v>
      </c>
      <c r="G14" s="541">
        <v>0</v>
      </c>
      <c r="H14" s="541">
        <v>5000</v>
      </c>
      <c r="I14" s="541">
        <f>'2. mell. 1. pont'!D166</f>
        <v>5000</v>
      </c>
    </row>
    <row r="15" spans="1:9" x14ac:dyDescent="0.25">
      <c r="A15" s="539" t="s">
        <v>106</v>
      </c>
      <c r="B15" s="540">
        <v>0</v>
      </c>
      <c r="C15" s="540">
        <v>8302</v>
      </c>
      <c r="D15" s="540">
        <v>0</v>
      </c>
      <c r="E15" s="540"/>
      <c r="F15" s="539" t="s">
        <v>104</v>
      </c>
      <c r="G15" s="541">
        <v>0</v>
      </c>
      <c r="H15" s="541">
        <v>8302</v>
      </c>
      <c r="I15" s="541">
        <v>0</v>
      </c>
    </row>
    <row r="16" spans="1:9" ht="24" x14ac:dyDescent="0.25">
      <c r="A16" s="539" t="s">
        <v>108</v>
      </c>
      <c r="B16" s="540">
        <v>60520</v>
      </c>
      <c r="C16" s="540">
        <v>69777</v>
      </c>
      <c r="D16" s="540">
        <v>0</v>
      </c>
      <c r="E16" s="540"/>
      <c r="F16" s="543" t="s">
        <v>121</v>
      </c>
      <c r="G16" s="541">
        <v>61489</v>
      </c>
      <c r="H16" s="541">
        <v>60656</v>
      </c>
      <c r="I16" s="541">
        <f>'2. mell. 1. pont'!D235</f>
        <v>64565</v>
      </c>
    </row>
    <row r="17" spans="1:9" x14ac:dyDescent="0.25">
      <c r="A17" s="544"/>
      <c r="B17" s="540"/>
      <c r="C17" s="540"/>
      <c r="D17" s="540"/>
      <c r="E17" s="540"/>
      <c r="F17" s="10"/>
      <c r="G17" s="10"/>
      <c r="H17" s="541"/>
      <c r="I17" s="541"/>
    </row>
    <row r="18" spans="1:9" x14ac:dyDescent="0.25">
      <c r="A18" s="529" t="s">
        <v>110</v>
      </c>
      <c r="B18" s="545">
        <f>SUM(B8:B17)</f>
        <v>3319032</v>
      </c>
      <c r="C18" s="545">
        <f>SUM(C8:C17)</f>
        <v>3782527</v>
      </c>
      <c r="D18" s="545">
        <f>SUM(D8:D17)</f>
        <v>3200226</v>
      </c>
      <c r="E18" s="546"/>
      <c r="F18" s="529" t="s">
        <v>111</v>
      </c>
      <c r="G18" s="547">
        <f>SUM(G8:G17)</f>
        <v>3050066</v>
      </c>
      <c r="H18" s="547">
        <f>SUM(H8:H17)</f>
        <v>3592902</v>
      </c>
      <c r="I18" s="547">
        <f>SUM(I8:I17)</f>
        <v>3455474</v>
      </c>
    </row>
    <row r="19" spans="1:9" x14ac:dyDescent="0.25">
      <c r="A19" s="544"/>
      <c r="B19" s="545"/>
      <c r="C19" s="545"/>
      <c r="D19" s="545"/>
      <c r="E19" s="545"/>
      <c r="F19" s="539"/>
      <c r="G19" s="541"/>
      <c r="H19" s="541"/>
      <c r="I19" s="541"/>
    </row>
    <row r="20" spans="1:9" x14ac:dyDescent="0.25">
      <c r="A20" s="539" t="s">
        <v>63</v>
      </c>
      <c r="B20" s="541">
        <v>229477</v>
      </c>
      <c r="C20" s="541">
        <v>316022</v>
      </c>
      <c r="D20" s="541">
        <f>'1. melléklet'!D81</f>
        <v>388251</v>
      </c>
      <c r="E20" s="532"/>
      <c r="F20" s="539" t="s">
        <v>47</v>
      </c>
      <c r="G20" s="541">
        <v>212890</v>
      </c>
      <c r="H20" s="541">
        <v>1012657</v>
      </c>
      <c r="I20" s="541">
        <f>'2. mell. 1. pont'!D16+'2. mell. 1. pont'!D25+'2. mell. 1. pont'!D40+'2. mell. 1. pont'!D194</f>
        <v>679324</v>
      </c>
    </row>
    <row r="21" spans="1:9" x14ac:dyDescent="0.25">
      <c r="A21" s="539" t="s">
        <v>242</v>
      </c>
      <c r="B21" s="540">
        <v>146898</v>
      </c>
      <c r="C21" s="540">
        <v>40000</v>
      </c>
      <c r="D21" s="540">
        <v>0</v>
      </c>
      <c r="E21" s="540"/>
      <c r="F21" s="539" t="s">
        <v>19</v>
      </c>
      <c r="G21" s="541">
        <v>377959</v>
      </c>
      <c r="H21" s="541">
        <v>1730320</v>
      </c>
      <c r="I21" s="541">
        <f>'2. mell. 1. pont'!D28+'2. mell. 1. pont'!D205</f>
        <v>1364283</v>
      </c>
    </row>
    <row r="22" spans="1:9" ht="24" x14ac:dyDescent="0.25">
      <c r="A22" s="539" t="s">
        <v>112</v>
      </c>
      <c r="B22" s="548">
        <v>1707980</v>
      </c>
      <c r="C22" s="548">
        <v>665585</v>
      </c>
      <c r="D22" s="548">
        <f>'1. melléklet'!D117</f>
        <v>263671</v>
      </c>
      <c r="E22" s="548"/>
      <c r="F22" s="542" t="s">
        <v>130</v>
      </c>
      <c r="G22" s="541">
        <v>24347</v>
      </c>
      <c r="H22" s="541">
        <v>7612</v>
      </c>
      <c r="I22" s="541">
        <f>'2. mell. 1. pont'!D210+'2. mell. 1. pont'!D216</f>
        <v>8300</v>
      </c>
    </row>
    <row r="23" spans="1:9" x14ac:dyDescent="0.25">
      <c r="A23" s="539" t="s">
        <v>198</v>
      </c>
      <c r="B23" s="540">
        <v>397</v>
      </c>
      <c r="C23" s="540">
        <v>400</v>
      </c>
      <c r="D23" s="540">
        <f>'1. melléklet'!D131</f>
        <v>400</v>
      </c>
      <c r="E23" s="540"/>
      <c r="F23" s="539" t="s">
        <v>129</v>
      </c>
      <c r="G23" s="541">
        <v>0</v>
      </c>
      <c r="H23" s="541">
        <v>627237</v>
      </c>
      <c r="I23" s="541">
        <f>'2. mell. 1. pont'!D222</f>
        <v>14868</v>
      </c>
    </row>
    <row r="24" spans="1:9" x14ac:dyDescent="0.25">
      <c r="A24" s="539" t="s">
        <v>113</v>
      </c>
      <c r="B24" s="540">
        <v>226</v>
      </c>
      <c r="C24" s="540">
        <v>300</v>
      </c>
      <c r="D24" s="540">
        <f>'1. melléklet'!D139</f>
        <v>300</v>
      </c>
      <c r="E24" s="540"/>
      <c r="F24" s="539" t="s">
        <v>116</v>
      </c>
      <c r="G24" s="541">
        <v>0</v>
      </c>
      <c r="H24" s="541">
        <v>0</v>
      </c>
      <c r="I24" s="541">
        <v>0</v>
      </c>
    </row>
    <row r="25" spans="1:9" x14ac:dyDescent="0.25">
      <c r="A25" s="539" t="s">
        <v>114</v>
      </c>
      <c r="B25" s="540">
        <v>811783</v>
      </c>
      <c r="C25" s="540">
        <v>2192283</v>
      </c>
      <c r="D25" s="540">
        <f>'1. melléklet'!D167</f>
        <v>1695790</v>
      </c>
      <c r="E25" s="540"/>
      <c r="F25" s="539" t="s">
        <v>123</v>
      </c>
      <c r="G25" s="541">
        <v>44310</v>
      </c>
      <c r="H25" s="541">
        <v>26389</v>
      </c>
      <c r="I25" s="541">
        <f>'2. mell. 1. pont'!D231</f>
        <v>26389</v>
      </c>
    </row>
    <row r="26" spans="1:9" x14ac:dyDescent="0.25">
      <c r="A26" s="539" t="s">
        <v>115</v>
      </c>
      <c r="B26" s="540">
        <v>0</v>
      </c>
      <c r="C26" s="540">
        <v>0</v>
      </c>
      <c r="D26" s="540">
        <v>0</v>
      </c>
      <c r="E26" s="540"/>
      <c r="F26" s="10"/>
      <c r="G26" s="10"/>
      <c r="H26" s="10"/>
      <c r="I26" s="10"/>
    </row>
    <row r="27" spans="1:9" x14ac:dyDescent="0.25">
      <c r="A27" s="539"/>
      <c r="B27" s="540"/>
      <c r="C27" s="540"/>
      <c r="D27" s="540"/>
      <c r="E27" s="540"/>
      <c r="F27" s="543"/>
      <c r="G27" s="541"/>
      <c r="H27" s="541"/>
      <c r="I27" s="541"/>
    </row>
    <row r="28" spans="1:9" x14ac:dyDescent="0.25">
      <c r="A28" s="529" t="s">
        <v>117</v>
      </c>
      <c r="B28" s="545">
        <f>SUM(B20:B27)</f>
        <v>2896761</v>
      </c>
      <c r="C28" s="545">
        <f>SUM(C20:C27)</f>
        <v>3214590</v>
      </c>
      <c r="D28" s="545">
        <f>SUM(D20:D27)</f>
        <v>2348412</v>
      </c>
      <c r="E28" s="545"/>
      <c r="F28" s="529" t="s">
        <v>118</v>
      </c>
      <c r="G28" s="547">
        <f>SUM(G20:G27)</f>
        <v>659506</v>
      </c>
      <c r="H28" s="547">
        <f>SUM(H20:H27)</f>
        <v>3404215</v>
      </c>
      <c r="I28" s="547">
        <f>SUM(I20:I27)</f>
        <v>2093164</v>
      </c>
    </row>
    <row r="29" spans="1:9" x14ac:dyDescent="0.25">
      <c r="A29" s="529"/>
      <c r="B29" s="545"/>
      <c r="C29" s="545"/>
      <c r="D29" s="545"/>
      <c r="E29" s="545"/>
      <c r="F29" s="529"/>
      <c r="G29" s="547"/>
      <c r="H29" s="547"/>
      <c r="I29" s="541"/>
    </row>
    <row r="30" spans="1:9" x14ac:dyDescent="0.25">
      <c r="A30" s="529"/>
      <c r="B30" s="545"/>
      <c r="C30" s="545"/>
      <c r="D30" s="545"/>
      <c r="E30" s="545"/>
      <c r="F30" s="529"/>
      <c r="G30" s="541"/>
      <c r="H30" s="541"/>
      <c r="I30" s="541"/>
    </row>
    <row r="31" spans="1:9" x14ac:dyDescent="0.25">
      <c r="A31" s="549" t="s">
        <v>119</v>
      </c>
      <c r="B31" s="550">
        <f>B18+B28</f>
        <v>6215793</v>
      </c>
      <c r="C31" s="550">
        <f>C18+C28</f>
        <v>6997117</v>
      </c>
      <c r="D31" s="550">
        <f>D18+D28</f>
        <v>5548638</v>
      </c>
      <c r="E31" s="550"/>
      <c r="F31" s="549" t="s">
        <v>120</v>
      </c>
      <c r="G31" s="550">
        <f>G18+G28</f>
        <v>3709572</v>
      </c>
      <c r="H31" s="550">
        <f>H18+H28</f>
        <v>6997117</v>
      </c>
      <c r="I31" s="550">
        <f>I18+I28</f>
        <v>5548638</v>
      </c>
    </row>
  </sheetData>
  <mergeCells count="2">
    <mergeCell ref="A2:I2"/>
    <mergeCell ref="A3:I3"/>
  </mergeCells>
  <pageMargins left="0.7" right="0.7" top="0.75" bottom="0.75" header="0.3" footer="0.3"/>
  <pageSetup paperSize="9" scale="9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46454-FD62-438B-9AC3-98E84E97D6B4}">
  <dimension ref="A1:U26"/>
  <sheetViews>
    <sheetView view="pageBreakPreview" zoomScaleNormal="100" zoomScaleSheetLayoutView="100" workbookViewId="0">
      <selection activeCell="M1" sqref="M1"/>
    </sheetView>
  </sheetViews>
  <sheetFormatPr defaultRowHeight="13.2" x14ac:dyDescent="0.25"/>
  <cols>
    <col min="1" max="1" width="6.44140625" style="183" customWidth="1"/>
    <col min="2" max="2" width="30.6640625" style="190" customWidth="1"/>
    <col min="3" max="4" width="11.5546875" style="183" customWidth="1"/>
    <col min="5" max="12" width="9.88671875" style="183" bestFit="1" customWidth="1"/>
    <col min="13" max="13" width="10.6640625" style="183" customWidth="1"/>
    <col min="14" max="14" width="11.5546875" style="183" customWidth="1"/>
    <col min="15" max="16" width="11.33203125" style="184" customWidth="1"/>
    <col min="17" max="17" width="11.88671875" style="184" customWidth="1"/>
    <col min="18" max="20" width="11.33203125" style="184" customWidth="1"/>
    <col min="21" max="21" width="11.88671875" style="183" customWidth="1"/>
    <col min="22" max="256" width="9.109375" style="183"/>
    <col min="257" max="257" width="6.44140625" style="183" customWidth="1"/>
    <col min="258" max="258" width="30.6640625" style="183" customWidth="1"/>
    <col min="259" max="260" width="11.5546875" style="183" customWidth="1"/>
    <col min="261" max="262" width="8.6640625" style="183" customWidth="1"/>
    <col min="263" max="266" width="9.88671875" style="183" bestFit="1" customWidth="1"/>
    <col min="267" max="268" width="8.6640625" style="183" customWidth="1"/>
    <col min="269" max="269" width="10.6640625" style="183" customWidth="1"/>
    <col min="270" max="270" width="34.6640625" style="183" customWidth="1"/>
    <col min="271" max="272" width="11.33203125" style="183" customWidth="1"/>
    <col min="273" max="273" width="11.88671875" style="183" customWidth="1"/>
    <col min="274" max="276" width="11.33203125" style="183" customWidth="1"/>
    <col min="277" max="277" width="11.88671875" style="183" customWidth="1"/>
    <col min="278" max="512" width="9.109375" style="183"/>
    <col min="513" max="513" width="6.44140625" style="183" customWidth="1"/>
    <col min="514" max="514" width="30.6640625" style="183" customWidth="1"/>
    <col min="515" max="516" width="11.5546875" style="183" customWidth="1"/>
    <col min="517" max="518" width="8.6640625" style="183" customWidth="1"/>
    <col min="519" max="522" width="9.88671875" style="183" bestFit="1" customWidth="1"/>
    <col min="523" max="524" width="8.6640625" style="183" customWidth="1"/>
    <col min="525" max="525" width="10.6640625" style="183" customWidth="1"/>
    <col min="526" max="526" width="34.6640625" style="183" customWidth="1"/>
    <col min="527" max="528" width="11.33203125" style="183" customWidth="1"/>
    <col min="529" max="529" width="11.88671875" style="183" customWidth="1"/>
    <col min="530" max="532" width="11.33203125" style="183" customWidth="1"/>
    <col min="533" max="533" width="11.88671875" style="183" customWidth="1"/>
    <col min="534" max="768" width="9.109375" style="183"/>
    <col min="769" max="769" width="6.44140625" style="183" customWidth="1"/>
    <col min="770" max="770" width="30.6640625" style="183" customWidth="1"/>
    <col min="771" max="772" width="11.5546875" style="183" customWidth="1"/>
    <col min="773" max="774" width="8.6640625" style="183" customWidth="1"/>
    <col min="775" max="778" width="9.88671875" style="183" bestFit="1" customWidth="1"/>
    <col min="779" max="780" width="8.6640625" style="183" customWidth="1"/>
    <col min="781" max="781" width="10.6640625" style="183" customWidth="1"/>
    <col min="782" max="782" width="34.6640625" style="183" customWidth="1"/>
    <col min="783" max="784" width="11.33203125" style="183" customWidth="1"/>
    <col min="785" max="785" width="11.88671875" style="183" customWidth="1"/>
    <col min="786" max="788" width="11.33203125" style="183" customWidth="1"/>
    <col min="789" max="789" width="11.88671875" style="183" customWidth="1"/>
    <col min="790" max="1024" width="9.109375" style="183"/>
    <col min="1025" max="1025" width="6.44140625" style="183" customWidth="1"/>
    <col min="1026" max="1026" width="30.6640625" style="183" customWidth="1"/>
    <col min="1027" max="1028" width="11.5546875" style="183" customWidth="1"/>
    <col min="1029" max="1030" width="8.6640625" style="183" customWidth="1"/>
    <col min="1031" max="1034" width="9.88671875" style="183" bestFit="1" customWidth="1"/>
    <col min="1035" max="1036" width="8.6640625" style="183" customWidth="1"/>
    <col min="1037" max="1037" width="10.6640625" style="183" customWidth="1"/>
    <col min="1038" max="1038" width="34.6640625" style="183" customWidth="1"/>
    <col min="1039" max="1040" width="11.33203125" style="183" customWidth="1"/>
    <col min="1041" max="1041" width="11.88671875" style="183" customWidth="1"/>
    <col min="1042" max="1044" width="11.33203125" style="183" customWidth="1"/>
    <col min="1045" max="1045" width="11.88671875" style="183" customWidth="1"/>
    <col min="1046" max="1280" width="9.109375" style="183"/>
    <col min="1281" max="1281" width="6.44140625" style="183" customWidth="1"/>
    <col min="1282" max="1282" width="30.6640625" style="183" customWidth="1"/>
    <col min="1283" max="1284" width="11.5546875" style="183" customWidth="1"/>
    <col min="1285" max="1286" width="8.6640625" style="183" customWidth="1"/>
    <col min="1287" max="1290" width="9.88671875" style="183" bestFit="1" customWidth="1"/>
    <col min="1291" max="1292" width="8.6640625" style="183" customWidth="1"/>
    <col min="1293" max="1293" width="10.6640625" style="183" customWidth="1"/>
    <col min="1294" max="1294" width="34.6640625" style="183" customWidth="1"/>
    <col min="1295" max="1296" width="11.33203125" style="183" customWidth="1"/>
    <col min="1297" max="1297" width="11.88671875" style="183" customWidth="1"/>
    <col min="1298" max="1300" width="11.33203125" style="183" customWidth="1"/>
    <col min="1301" max="1301" width="11.88671875" style="183" customWidth="1"/>
    <col min="1302" max="1536" width="9.109375" style="183"/>
    <col min="1537" max="1537" width="6.44140625" style="183" customWidth="1"/>
    <col min="1538" max="1538" width="30.6640625" style="183" customWidth="1"/>
    <col min="1539" max="1540" width="11.5546875" style="183" customWidth="1"/>
    <col min="1541" max="1542" width="8.6640625" style="183" customWidth="1"/>
    <col min="1543" max="1546" width="9.88671875" style="183" bestFit="1" customWidth="1"/>
    <col min="1547" max="1548" width="8.6640625" style="183" customWidth="1"/>
    <col min="1549" max="1549" width="10.6640625" style="183" customWidth="1"/>
    <col min="1550" max="1550" width="34.6640625" style="183" customWidth="1"/>
    <col min="1551" max="1552" width="11.33203125" style="183" customWidth="1"/>
    <col min="1553" max="1553" width="11.88671875" style="183" customWidth="1"/>
    <col min="1554" max="1556" width="11.33203125" style="183" customWidth="1"/>
    <col min="1557" max="1557" width="11.88671875" style="183" customWidth="1"/>
    <col min="1558" max="1792" width="9.109375" style="183"/>
    <col min="1793" max="1793" width="6.44140625" style="183" customWidth="1"/>
    <col min="1794" max="1794" width="30.6640625" style="183" customWidth="1"/>
    <col min="1795" max="1796" width="11.5546875" style="183" customWidth="1"/>
    <col min="1797" max="1798" width="8.6640625" style="183" customWidth="1"/>
    <col min="1799" max="1802" width="9.88671875" style="183" bestFit="1" customWidth="1"/>
    <col min="1803" max="1804" width="8.6640625" style="183" customWidth="1"/>
    <col min="1805" max="1805" width="10.6640625" style="183" customWidth="1"/>
    <col min="1806" max="1806" width="34.6640625" style="183" customWidth="1"/>
    <col min="1807" max="1808" width="11.33203125" style="183" customWidth="1"/>
    <col min="1809" max="1809" width="11.88671875" style="183" customWidth="1"/>
    <col min="1810" max="1812" width="11.33203125" style="183" customWidth="1"/>
    <col min="1813" max="1813" width="11.88671875" style="183" customWidth="1"/>
    <col min="1814" max="2048" width="9.109375" style="183"/>
    <col min="2049" max="2049" width="6.44140625" style="183" customWidth="1"/>
    <col min="2050" max="2050" width="30.6640625" style="183" customWidth="1"/>
    <col min="2051" max="2052" width="11.5546875" style="183" customWidth="1"/>
    <col min="2053" max="2054" width="8.6640625" style="183" customWidth="1"/>
    <col min="2055" max="2058" width="9.88671875" style="183" bestFit="1" customWidth="1"/>
    <col min="2059" max="2060" width="8.6640625" style="183" customWidth="1"/>
    <col min="2061" max="2061" width="10.6640625" style="183" customWidth="1"/>
    <col min="2062" max="2062" width="34.6640625" style="183" customWidth="1"/>
    <col min="2063" max="2064" width="11.33203125" style="183" customWidth="1"/>
    <col min="2065" max="2065" width="11.88671875" style="183" customWidth="1"/>
    <col min="2066" max="2068" width="11.33203125" style="183" customWidth="1"/>
    <col min="2069" max="2069" width="11.88671875" style="183" customWidth="1"/>
    <col min="2070" max="2304" width="9.109375" style="183"/>
    <col min="2305" max="2305" width="6.44140625" style="183" customWidth="1"/>
    <col min="2306" max="2306" width="30.6640625" style="183" customWidth="1"/>
    <col min="2307" max="2308" width="11.5546875" style="183" customWidth="1"/>
    <col min="2309" max="2310" width="8.6640625" style="183" customWidth="1"/>
    <col min="2311" max="2314" width="9.88671875" style="183" bestFit="1" customWidth="1"/>
    <col min="2315" max="2316" width="8.6640625" style="183" customWidth="1"/>
    <col min="2317" max="2317" width="10.6640625" style="183" customWidth="1"/>
    <col min="2318" max="2318" width="34.6640625" style="183" customWidth="1"/>
    <col min="2319" max="2320" width="11.33203125" style="183" customWidth="1"/>
    <col min="2321" max="2321" width="11.88671875" style="183" customWidth="1"/>
    <col min="2322" max="2324" width="11.33203125" style="183" customWidth="1"/>
    <col min="2325" max="2325" width="11.88671875" style="183" customWidth="1"/>
    <col min="2326" max="2560" width="9.109375" style="183"/>
    <col min="2561" max="2561" width="6.44140625" style="183" customWidth="1"/>
    <col min="2562" max="2562" width="30.6640625" style="183" customWidth="1"/>
    <col min="2563" max="2564" width="11.5546875" style="183" customWidth="1"/>
    <col min="2565" max="2566" width="8.6640625" style="183" customWidth="1"/>
    <col min="2567" max="2570" width="9.88671875" style="183" bestFit="1" customWidth="1"/>
    <col min="2571" max="2572" width="8.6640625" style="183" customWidth="1"/>
    <col min="2573" max="2573" width="10.6640625" style="183" customWidth="1"/>
    <col min="2574" max="2574" width="34.6640625" style="183" customWidth="1"/>
    <col min="2575" max="2576" width="11.33203125" style="183" customWidth="1"/>
    <col min="2577" max="2577" width="11.88671875" style="183" customWidth="1"/>
    <col min="2578" max="2580" width="11.33203125" style="183" customWidth="1"/>
    <col min="2581" max="2581" width="11.88671875" style="183" customWidth="1"/>
    <col min="2582" max="2816" width="9.109375" style="183"/>
    <col min="2817" max="2817" width="6.44140625" style="183" customWidth="1"/>
    <col min="2818" max="2818" width="30.6640625" style="183" customWidth="1"/>
    <col min="2819" max="2820" width="11.5546875" style="183" customWidth="1"/>
    <col min="2821" max="2822" width="8.6640625" style="183" customWidth="1"/>
    <col min="2823" max="2826" width="9.88671875" style="183" bestFit="1" customWidth="1"/>
    <col min="2827" max="2828" width="8.6640625" style="183" customWidth="1"/>
    <col min="2829" max="2829" width="10.6640625" style="183" customWidth="1"/>
    <col min="2830" max="2830" width="34.6640625" style="183" customWidth="1"/>
    <col min="2831" max="2832" width="11.33203125" style="183" customWidth="1"/>
    <col min="2833" max="2833" width="11.88671875" style="183" customWidth="1"/>
    <col min="2834" max="2836" width="11.33203125" style="183" customWidth="1"/>
    <col min="2837" max="2837" width="11.88671875" style="183" customWidth="1"/>
    <col min="2838" max="3072" width="9.109375" style="183"/>
    <col min="3073" max="3073" width="6.44140625" style="183" customWidth="1"/>
    <col min="3074" max="3074" width="30.6640625" style="183" customWidth="1"/>
    <col min="3075" max="3076" width="11.5546875" style="183" customWidth="1"/>
    <col min="3077" max="3078" width="8.6640625" style="183" customWidth="1"/>
    <col min="3079" max="3082" width="9.88671875" style="183" bestFit="1" customWidth="1"/>
    <col min="3083" max="3084" width="8.6640625" style="183" customWidth="1"/>
    <col min="3085" max="3085" width="10.6640625" style="183" customWidth="1"/>
    <col min="3086" max="3086" width="34.6640625" style="183" customWidth="1"/>
    <col min="3087" max="3088" width="11.33203125" style="183" customWidth="1"/>
    <col min="3089" max="3089" width="11.88671875" style="183" customWidth="1"/>
    <col min="3090" max="3092" width="11.33203125" style="183" customWidth="1"/>
    <col min="3093" max="3093" width="11.88671875" style="183" customWidth="1"/>
    <col min="3094" max="3328" width="9.109375" style="183"/>
    <col min="3329" max="3329" width="6.44140625" style="183" customWidth="1"/>
    <col min="3330" max="3330" width="30.6640625" style="183" customWidth="1"/>
    <col min="3331" max="3332" width="11.5546875" style="183" customWidth="1"/>
    <col min="3333" max="3334" width="8.6640625" style="183" customWidth="1"/>
    <col min="3335" max="3338" width="9.88671875" style="183" bestFit="1" customWidth="1"/>
    <col min="3339" max="3340" width="8.6640625" style="183" customWidth="1"/>
    <col min="3341" max="3341" width="10.6640625" style="183" customWidth="1"/>
    <col min="3342" max="3342" width="34.6640625" style="183" customWidth="1"/>
    <col min="3343" max="3344" width="11.33203125" style="183" customWidth="1"/>
    <col min="3345" max="3345" width="11.88671875" style="183" customWidth="1"/>
    <col min="3346" max="3348" width="11.33203125" style="183" customWidth="1"/>
    <col min="3349" max="3349" width="11.88671875" style="183" customWidth="1"/>
    <col min="3350" max="3584" width="9.109375" style="183"/>
    <col min="3585" max="3585" width="6.44140625" style="183" customWidth="1"/>
    <col min="3586" max="3586" width="30.6640625" style="183" customWidth="1"/>
    <col min="3587" max="3588" width="11.5546875" style="183" customWidth="1"/>
    <col min="3589" max="3590" width="8.6640625" style="183" customWidth="1"/>
    <col min="3591" max="3594" width="9.88671875" style="183" bestFit="1" customWidth="1"/>
    <col min="3595" max="3596" width="8.6640625" style="183" customWidth="1"/>
    <col min="3597" max="3597" width="10.6640625" style="183" customWidth="1"/>
    <col min="3598" max="3598" width="34.6640625" style="183" customWidth="1"/>
    <col min="3599" max="3600" width="11.33203125" style="183" customWidth="1"/>
    <col min="3601" max="3601" width="11.88671875" style="183" customWidth="1"/>
    <col min="3602" max="3604" width="11.33203125" style="183" customWidth="1"/>
    <col min="3605" max="3605" width="11.88671875" style="183" customWidth="1"/>
    <col min="3606" max="3840" width="9.109375" style="183"/>
    <col min="3841" max="3841" width="6.44140625" style="183" customWidth="1"/>
    <col min="3842" max="3842" width="30.6640625" style="183" customWidth="1"/>
    <col min="3843" max="3844" width="11.5546875" style="183" customWidth="1"/>
    <col min="3845" max="3846" width="8.6640625" style="183" customWidth="1"/>
    <col min="3847" max="3850" width="9.88671875" style="183" bestFit="1" customWidth="1"/>
    <col min="3851" max="3852" width="8.6640625" style="183" customWidth="1"/>
    <col min="3853" max="3853" width="10.6640625" style="183" customWidth="1"/>
    <col min="3854" max="3854" width="34.6640625" style="183" customWidth="1"/>
    <col min="3855" max="3856" width="11.33203125" style="183" customWidth="1"/>
    <col min="3857" max="3857" width="11.88671875" style="183" customWidth="1"/>
    <col min="3858" max="3860" width="11.33203125" style="183" customWidth="1"/>
    <col min="3861" max="3861" width="11.88671875" style="183" customWidth="1"/>
    <col min="3862" max="4096" width="9.109375" style="183"/>
    <col min="4097" max="4097" width="6.44140625" style="183" customWidth="1"/>
    <col min="4098" max="4098" width="30.6640625" style="183" customWidth="1"/>
    <col min="4099" max="4100" width="11.5546875" style="183" customWidth="1"/>
    <col min="4101" max="4102" width="8.6640625" style="183" customWidth="1"/>
    <col min="4103" max="4106" width="9.88671875" style="183" bestFit="1" customWidth="1"/>
    <col min="4107" max="4108" width="8.6640625" style="183" customWidth="1"/>
    <col min="4109" max="4109" width="10.6640625" style="183" customWidth="1"/>
    <col min="4110" max="4110" width="34.6640625" style="183" customWidth="1"/>
    <col min="4111" max="4112" width="11.33203125" style="183" customWidth="1"/>
    <col min="4113" max="4113" width="11.88671875" style="183" customWidth="1"/>
    <col min="4114" max="4116" width="11.33203125" style="183" customWidth="1"/>
    <col min="4117" max="4117" width="11.88671875" style="183" customWidth="1"/>
    <col min="4118" max="4352" width="9.109375" style="183"/>
    <col min="4353" max="4353" width="6.44140625" style="183" customWidth="1"/>
    <col min="4354" max="4354" width="30.6640625" style="183" customWidth="1"/>
    <col min="4355" max="4356" width="11.5546875" style="183" customWidth="1"/>
    <col min="4357" max="4358" width="8.6640625" style="183" customWidth="1"/>
    <col min="4359" max="4362" width="9.88671875" style="183" bestFit="1" customWidth="1"/>
    <col min="4363" max="4364" width="8.6640625" style="183" customWidth="1"/>
    <col min="4365" max="4365" width="10.6640625" style="183" customWidth="1"/>
    <col min="4366" max="4366" width="34.6640625" style="183" customWidth="1"/>
    <col min="4367" max="4368" width="11.33203125" style="183" customWidth="1"/>
    <col min="4369" max="4369" width="11.88671875" style="183" customWidth="1"/>
    <col min="4370" max="4372" width="11.33203125" style="183" customWidth="1"/>
    <col min="4373" max="4373" width="11.88671875" style="183" customWidth="1"/>
    <col min="4374" max="4608" width="9.109375" style="183"/>
    <col min="4609" max="4609" width="6.44140625" style="183" customWidth="1"/>
    <col min="4610" max="4610" width="30.6640625" style="183" customWidth="1"/>
    <col min="4611" max="4612" width="11.5546875" style="183" customWidth="1"/>
    <col min="4613" max="4614" width="8.6640625" style="183" customWidth="1"/>
    <col min="4615" max="4618" width="9.88671875" style="183" bestFit="1" customWidth="1"/>
    <col min="4619" max="4620" width="8.6640625" style="183" customWidth="1"/>
    <col min="4621" max="4621" width="10.6640625" style="183" customWidth="1"/>
    <col min="4622" max="4622" width="34.6640625" style="183" customWidth="1"/>
    <col min="4623" max="4624" width="11.33203125" style="183" customWidth="1"/>
    <col min="4625" max="4625" width="11.88671875" style="183" customWidth="1"/>
    <col min="4626" max="4628" width="11.33203125" style="183" customWidth="1"/>
    <col min="4629" max="4629" width="11.88671875" style="183" customWidth="1"/>
    <col min="4630" max="4864" width="9.109375" style="183"/>
    <col min="4865" max="4865" width="6.44140625" style="183" customWidth="1"/>
    <col min="4866" max="4866" width="30.6640625" style="183" customWidth="1"/>
    <col min="4867" max="4868" width="11.5546875" style="183" customWidth="1"/>
    <col min="4869" max="4870" width="8.6640625" style="183" customWidth="1"/>
    <col min="4871" max="4874" width="9.88671875" style="183" bestFit="1" customWidth="1"/>
    <col min="4875" max="4876" width="8.6640625" style="183" customWidth="1"/>
    <col min="4877" max="4877" width="10.6640625" style="183" customWidth="1"/>
    <col min="4878" max="4878" width="34.6640625" style="183" customWidth="1"/>
    <col min="4879" max="4880" width="11.33203125" style="183" customWidth="1"/>
    <col min="4881" max="4881" width="11.88671875" style="183" customWidth="1"/>
    <col min="4882" max="4884" width="11.33203125" style="183" customWidth="1"/>
    <col min="4885" max="4885" width="11.88671875" style="183" customWidth="1"/>
    <col min="4886" max="5120" width="9.109375" style="183"/>
    <col min="5121" max="5121" width="6.44140625" style="183" customWidth="1"/>
    <col min="5122" max="5122" width="30.6640625" style="183" customWidth="1"/>
    <col min="5123" max="5124" width="11.5546875" style="183" customWidth="1"/>
    <col min="5125" max="5126" width="8.6640625" style="183" customWidth="1"/>
    <col min="5127" max="5130" width="9.88671875" style="183" bestFit="1" customWidth="1"/>
    <col min="5131" max="5132" width="8.6640625" style="183" customWidth="1"/>
    <col min="5133" max="5133" width="10.6640625" style="183" customWidth="1"/>
    <col min="5134" max="5134" width="34.6640625" style="183" customWidth="1"/>
    <col min="5135" max="5136" width="11.33203125" style="183" customWidth="1"/>
    <col min="5137" max="5137" width="11.88671875" style="183" customWidth="1"/>
    <col min="5138" max="5140" width="11.33203125" style="183" customWidth="1"/>
    <col min="5141" max="5141" width="11.88671875" style="183" customWidth="1"/>
    <col min="5142" max="5376" width="9.109375" style="183"/>
    <col min="5377" max="5377" width="6.44140625" style="183" customWidth="1"/>
    <col min="5378" max="5378" width="30.6640625" style="183" customWidth="1"/>
    <col min="5379" max="5380" width="11.5546875" style="183" customWidth="1"/>
    <col min="5381" max="5382" width="8.6640625" style="183" customWidth="1"/>
    <col min="5383" max="5386" width="9.88671875" style="183" bestFit="1" customWidth="1"/>
    <col min="5387" max="5388" width="8.6640625" style="183" customWidth="1"/>
    <col min="5389" max="5389" width="10.6640625" style="183" customWidth="1"/>
    <col min="5390" max="5390" width="34.6640625" style="183" customWidth="1"/>
    <col min="5391" max="5392" width="11.33203125" style="183" customWidth="1"/>
    <col min="5393" max="5393" width="11.88671875" style="183" customWidth="1"/>
    <col min="5394" max="5396" width="11.33203125" style="183" customWidth="1"/>
    <col min="5397" max="5397" width="11.88671875" style="183" customWidth="1"/>
    <col min="5398" max="5632" width="9.109375" style="183"/>
    <col min="5633" max="5633" width="6.44140625" style="183" customWidth="1"/>
    <col min="5634" max="5634" width="30.6640625" style="183" customWidth="1"/>
    <col min="5635" max="5636" width="11.5546875" style="183" customWidth="1"/>
    <col min="5637" max="5638" width="8.6640625" style="183" customWidth="1"/>
    <col min="5639" max="5642" width="9.88671875" style="183" bestFit="1" customWidth="1"/>
    <col min="5643" max="5644" width="8.6640625" style="183" customWidth="1"/>
    <col min="5645" max="5645" width="10.6640625" style="183" customWidth="1"/>
    <col min="5646" max="5646" width="34.6640625" style="183" customWidth="1"/>
    <col min="5647" max="5648" width="11.33203125" style="183" customWidth="1"/>
    <col min="5649" max="5649" width="11.88671875" style="183" customWidth="1"/>
    <col min="5650" max="5652" width="11.33203125" style="183" customWidth="1"/>
    <col min="5653" max="5653" width="11.88671875" style="183" customWidth="1"/>
    <col min="5654" max="5888" width="9.109375" style="183"/>
    <col min="5889" max="5889" width="6.44140625" style="183" customWidth="1"/>
    <col min="5890" max="5890" width="30.6640625" style="183" customWidth="1"/>
    <col min="5891" max="5892" width="11.5546875" style="183" customWidth="1"/>
    <col min="5893" max="5894" width="8.6640625" style="183" customWidth="1"/>
    <col min="5895" max="5898" width="9.88671875" style="183" bestFit="1" customWidth="1"/>
    <col min="5899" max="5900" width="8.6640625" style="183" customWidth="1"/>
    <col min="5901" max="5901" width="10.6640625" style="183" customWidth="1"/>
    <col min="5902" max="5902" width="34.6640625" style="183" customWidth="1"/>
    <col min="5903" max="5904" width="11.33203125" style="183" customWidth="1"/>
    <col min="5905" max="5905" width="11.88671875" style="183" customWidth="1"/>
    <col min="5906" max="5908" width="11.33203125" style="183" customWidth="1"/>
    <col min="5909" max="5909" width="11.88671875" style="183" customWidth="1"/>
    <col min="5910" max="6144" width="9.109375" style="183"/>
    <col min="6145" max="6145" width="6.44140625" style="183" customWidth="1"/>
    <col min="6146" max="6146" width="30.6640625" style="183" customWidth="1"/>
    <col min="6147" max="6148" width="11.5546875" style="183" customWidth="1"/>
    <col min="6149" max="6150" width="8.6640625" style="183" customWidth="1"/>
    <col min="6151" max="6154" width="9.88671875" style="183" bestFit="1" customWidth="1"/>
    <col min="6155" max="6156" width="8.6640625" style="183" customWidth="1"/>
    <col min="6157" max="6157" width="10.6640625" style="183" customWidth="1"/>
    <col min="6158" max="6158" width="34.6640625" style="183" customWidth="1"/>
    <col min="6159" max="6160" width="11.33203125" style="183" customWidth="1"/>
    <col min="6161" max="6161" width="11.88671875" style="183" customWidth="1"/>
    <col min="6162" max="6164" width="11.33203125" style="183" customWidth="1"/>
    <col min="6165" max="6165" width="11.88671875" style="183" customWidth="1"/>
    <col min="6166" max="6400" width="9.109375" style="183"/>
    <col min="6401" max="6401" width="6.44140625" style="183" customWidth="1"/>
    <col min="6402" max="6402" width="30.6640625" style="183" customWidth="1"/>
    <col min="6403" max="6404" width="11.5546875" style="183" customWidth="1"/>
    <col min="6405" max="6406" width="8.6640625" style="183" customWidth="1"/>
    <col min="6407" max="6410" width="9.88671875" style="183" bestFit="1" customWidth="1"/>
    <col min="6411" max="6412" width="8.6640625" style="183" customWidth="1"/>
    <col min="6413" max="6413" width="10.6640625" style="183" customWidth="1"/>
    <col min="6414" max="6414" width="34.6640625" style="183" customWidth="1"/>
    <col min="6415" max="6416" width="11.33203125" style="183" customWidth="1"/>
    <col min="6417" max="6417" width="11.88671875" style="183" customWidth="1"/>
    <col min="6418" max="6420" width="11.33203125" style="183" customWidth="1"/>
    <col min="6421" max="6421" width="11.88671875" style="183" customWidth="1"/>
    <col min="6422" max="6656" width="9.109375" style="183"/>
    <col min="6657" max="6657" width="6.44140625" style="183" customWidth="1"/>
    <col min="6658" max="6658" width="30.6640625" style="183" customWidth="1"/>
    <col min="6659" max="6660" width="11.5546875" style="183" customWidth="1"/>
    <col min="6661" max="6662" width="8.6640625" style="183" customWidth="1"/>
    <col min="6663" max="6666" width="9.88671875" style="183" bestFit="1" customWidth="1"/>
    <col min="6667" max="6668" width="8.6640625" style="183" customWidth="1"/>
    <col min="6669" max="6669" width="10.6640625" style="183" customWidth="1"/>
    <col min="6670" max="6670" width="34.6640625" style="183" customWidth="1"/>
    <col min="6671" max="6672" width="11.33203125" style="183" customWidth="1"/>
    <col min="6673" max="6673" width="11.88671875" style="183" customWidth="1"/>
    <col min="6674" max="6676" width="11.33203125" style="183" customWidth="1"/>
    <col min="6677" max="6677" width="11.88671875" style="183" customWidth="1"/>
    <col min="6678" max="6912" width="9.109375" style="183"/>
    <col min="6913" max="6913" width="6.44140625" style="183" customWidth="1"/>
    <col min="6914" max="6914" width="30.6640625" style="183" customWidth="1"/>
    <col min="6915" max="6916" width="11.5546875" style="183" customWidth="1"/>
    <col min="6917" max="6918" width="8.6640625" style="183" customWidth="1"/>
    <col min="6919" max="6922" width="9.88671875" style="183" bestFit="1" customWidth="1"/>
    <col min="6923" max="6924" width="8.6640625" style="183" customWidth="1"/>
    <col min="6925" max="6925" width="10.6640625" style="183" customWidth="1"/>
    <col min="6926" max="6926" width="34.6640625" style="183" customWidth="1"/>
    <col min="6927" max="6928" width="11.33203125" style="183" customWidth="1"/>
    <col min="6929" max="6929" width="11.88671875" style="183" customWidth="1"/>
    <col min="6930" max="6932" width="11.33203125" style="183" customWidth="1"/>
    <col min="6933" max="6933" width="11.88671875" style="183" customWidth="1"/>
    <col min="6934" max="7168" width="9.109375" style="183"/>
    <col min="7169" max="7169" width="6.44140625" style="183" customWidth="1"/>
    <col min="7170" max="7170" width="30.6640625" style="183" customWidth="1"/>
    <col min="7171" max="7172" width="11.5546875" style="183" customWidth="1"/>
    <col min="7173" max="7174" width="8.6640625" style="183" customWidth="1"/>
    <col min="7175" max="7178" width="9.88671875" style="183" bestFit="1" customWidth="1"/>
    <col min="7179" max="7180" width="8.6640625" style="183" customWidth="1"/>
    <col min="7181" max="7181" width="10.6640625" style="183" customWidth="1"/>
    <col min="7182" max="7182" width="34.6640625" style="183" customWidth="1"/>
    <col min="7183" max="7184" width="11.33203125" style="183" customWidth="1"/>
    <col min="7185" max="7185" width="11.88671875" style="183" customWidth="1"/>
    <col min="7186" max="7188" width="11.33203125" style="183" customWidth="1"/>
    <col min="7189" max="7189" width="11.88671875" style="183" customWidth="1"/>
    <col min="7190" max="7424" width="9.109375" style="183"/>
    <col min="7425" max="7425" width="6.44140625" style="183" customWidth="1"/>
    <col min="7426" max="7426" width="30.6640625" style="183" customWidth="1"/>
    <col min="7427" max="7428" width="11.5546875" style="183" customWidth="1"/>
    <col min="7429" max="7430" width="8.6640625" style="183" customWidth="1"/>
    <col min="7431" max="7434" width="9.88671875" style="183" bestFit="1" customWidth="1"/>
    <col min="7435" max="7436" width="8.6640625" style="183" customWidth="1"/>
    <col min="7437" max="7437" width="10.6640625" style="183" customWidth="1"/>
    <col min="7438" max="7438" width="34.6640625" style="183" customWidth="1"/>
    <col min="7439" max="7440" width="11.33203125" style="183" customWidth="1"/>
    <col min="7441" max="7441" width="11.88671875" style="183" customWidth="1"/>
    <col min="7442" max="7444" width="11.33203125" style="183" customWidth="1"/>
    <col min="7445" max="7445" width="11.88671875" style="183" customWidth="1"/>
    <col min="7446" max="7680" width="9.109375" style="183"/>
    <col min="7681" max="7681" width="6.44140625" style="183" customWidth="1"/>
    <col min="7682" max="7682" width="30.6640625" style="183" customWidth="1"/>
    <col min="7683" max="7684" width="11.5546875" style="183" customWidth="1"/>
    <col min="7685" max="7686" width="8.6640625" style="183" customWidth="1"/>
    <col min="7687" max="7690" width="9.88671875" style="183" bestFit="1" customWidth="1"/>
    <col min="7691" max="7692" width="8.6640625" style="183" customWidth="1"/>
    <col min="7693" max="7693" width="10.6640625" style="183" customWidth="1"/>
    <col min="7694" max="7694" width="34.6640625" style="183" customWidth="1"/>
    <col min="7695" max="7696" width="11.33203125" style="183" customWidth="1"/>
    <col min="7697" max="7697" width="11.88671875" style="183" customWidth="1"/>
    <col min="7698" max="7700" width="11.33203125" style="183" customWidth="1"/>
    <col min="7701" max="7701" width="11.88671875" style="183" customWidth="1"/>
    <col min="7702" max="7936" width="9.109375" style="183"/>
    <col min="7937" max="7937" width="6.44140625" style="183" customWidth="1"/>
    <col min="7938" max="7938" width="30.6640625" style="183" customWidth="1"/>
    <col min="7939" max="7940" width="11.5546875" style="183" customWidth="1"/>
    <col min="7941" max="7942" width="8.6640625" style="183" customWidth="1"/>
    <col min="7943" max="7946" width="9.88671875" style="183" bestFit="1" customWidth="1"/>
    <col min="7947" max="7948" width="8.6640625" style="183" customWidth="1"/>
    <col min="7949" max="7949" width="10.6640625" style="183" customWidth="1"/>
    <col min="7950" max="7950" width="34.6640625" style="183" customWidth="1"/>
    <col min="7951" max="7952" width="11.33203125" style="183" customWidth="1"/>
    <col min="7953" max="7953" width="11.88671875" style="183" customWidth="1"/>
    <col min="7954" max="7956" width="11.33203125" style="183" customWidth="1"/>
    <col min="7957" max="7957" width="11.88671875" style="183" customWidth="1"/>
    <col min="7958" max="8192" width="9.109375" style="183"/>
    <col min="8193" max="8193" width="6.44140625" style="183" customWidth="1"/>
    <col min="8194" max="8194" width="30.6640625" style="183" customWidth="1"/>
    <col min="8195" max="8196" width="11.5546875" style="183" customWidth="1"/>
    <col min="8197" max="8198" width="8.6640625" style="183" customWidth="1"/>
    <col min="8199" max="8202" width="9.88671875" style="183" bestFit="1" customWidth="1"/>
    <col min="8203" max="8204" width="8.6640625" style="183" customWidth="1"/>
    <col min="8205" max="8205" width="10.6640625" style="183" customWidth="1"/>
    <col min="8206" max="8206" width="34.6640625" style="183" customWidth="1"/>
    <col min="8207" max="8208" width="11.33203125" style="183" customWidth="1"/>
    <col min="8209" max="8209" width="11.88671875" style="183" customWidth="1"/>
    <col min="8210" max="8212" width="11.33203125" style="183" customWidth="1"/>
    <col min="8213" max="8213" width="11.88671875" style="183" customWidth="1"/>
    <col min="8214" max="8448" width="9.109375" style="183"/>
    <col min="8449" max="8449" width="6.44140625" style="183" customWidth="1"/>
    <col min="8450" max="8450" width="30.6640625" style="183" customWidth="1"/>
    <col min="8451" max="8452" width="11.5546875" style="183" customWidth="1"/>
    <col min="8453" max="8454" width="8.6640625" style="183" customWidth="1"/>
    <col min="8455" max="8458" width="9.88671875" style="183" bestFit="1" customWidth="1"/>
    <col min="8459" max="8460" width="8.6640625" style="183" customWidth="1"/>
    <col min="8461" max="8461" width="10.6640625" style="183" customWidth="1"/>
    <col min="8462" max="8462" width="34.6640625" style="183" customWidth="1"/>
    <col min="8463" max="8464" width="11.33203125" style="183" customWidth="1"/>
    <col min="8465" max="8465" width="11.88671875" style="183" customWidth="1"/>
    <col min="8466" max="8468" width="11.33203125" style="183" customWidth="1"/>
    <col min="8469" max="8469" width="11.88671875" style="183" customWidth="1"/>
    <col min="8470" max="8704" width="9.109375" style="183"/>
    <col min="8705" max="8705" width="6.44140625" style="183" customWidth="1"/>
    <col min="8706" max="8706" width="30.6640625" style="183" customWidth="1"/>
    <col min="8707" max="8708" width="11.5546875" style="183" customWidth="1"/>
    <col min="8709" max="8710" width="8.6640625" style="183" customWidth="1"/>
    <col min="8711" max="8714" width="9.88671875" style="183" bestFit="1" customWidth="1"/>
    <col min="8715" max="8716" width="8.6640625" style="183" customWidth="1"/>
    <col min="8717" max="8717" width="10.6640625" style="183" customWidth="1"/>
    <col min="8718" max="8718" width="34.6640625" style="183" customWidth="1"/>
    <col min="8719" max="8720" width="11.33203125" style="183" customWidth="1"/>
    <col min="8721" max="8721" width="11.88671875" style="183" customWidth="1"/>
    <col min="8722" max="8724" width="11.33203125" style="183" customWidth="1"/>
    <col min="8725" max="8725" width="11.88671875" style="183" customWidth="1"/>
    <col min="8726" max="8960" width="9.109375" style="183"/>
    <col min="8961" max="8961" width="6.44140625" style="183" customWidth="1"/>
    <col min="8962" max="8962" width="30.6640625" style="183" customWidth="1"/>
    <col min="8963" max="8964" width="11.5546875" style="183" customWidth="1"/>
    <col min="8965" max="8966" width="8.6640625" style="183" customWidth="1"/>
    <col min="8967" max="8970" width="9.88671875" style="183" bestFit="1" customWidth="1"/>
    <col min="8971" max="8972" width="8.6640625" style="183" customWidth="1"/>
    <col min="8973" max="8973" width="10.6640625" style="183" customWidth="1"/>
    <col min="8974" max="8974" width="34.6640625" style="183" customWidth="1"/>
    <col min="8975" max="8976" width="11.33203125" style="183" customWidth="1"/>
    <col min="8977" max="8977" width="11.88671875" style="183" customWidth="1"/>
    <col min="8978" max="8980" width="11.33203125" style="183" customWidth="1"/>
    <col min="8981" max="8981" width="11.88671875" style="183" customWidth="1"/>
    <col min="8982" max="9216" width="9.109375" style="183"/>
    <col min="9217" max="9217" width="6.44140625" style="183" customWidth="1"/>
    <col min="9218" max="9218" width="30.6640625" style="183" customWidth="1"/>
    <col min="9219" max="9220" width="11.5546875" style="183" customWidth="1"/>
    <col min="9221" max="9222" width="8.6640625" style="183" customWidth="1"/>
    <col min="9223" max="9226" width="9.88671875" style="183" bestFit="1" customWidth="1"/>
    <col min="9227" max="9228" width="8.6640625" style="183" customWidth="1"/>
    <col min="9229" max="9229" width="10.6640625" style="183" customWidth="1"/>
    <col min="9230" max="9230" width="34.6640625" style="183" customWidth="1"/>
    <col min="9231" max="9232" width="11.33203125" style="183" customWidth="1"/>
    <col min="9233" max="9233" width="11.88671875" style="183" customWidth="1"/>
    <col min="9234" max="9236" width="11.33203125" style="183" customWidth="1"/>
    <col min="9237" max="9237" width="11.88671875" style="183" customWidth="1"/>
    <col min="9238" max="9472" width="9.109375" style="183"/>
    <col min="9473" max="9473" width="6.44140625" style="183" customWidth="1"/>
    <col min="9474" max="9474" width="30.6640625" style="183" customWidth="1"/>
    <col min="9475" max="9476" width="11.5546875" style="183" customWidth="1"/>
    <col min="9477" max="9478" width="8.6640625" style="183" customWidth="1"/>
    <col min="9479" max="9482" width="9.88671875" style="183" bestFit="1" customWidth="1"/>
    <col min="9483" max="9484" width="8.6640625" style="183" customWidth="1"/>
    <col min="9485" max="9485" width="10.6640625" style="183" customWidth="1"/>
    <col min="9486" max="9486" width="34.6640625" style="183" customWidth="1"/>
    <col min="9487" max="9488" width="11.33203125" style="183" customWidth="1"/>
    <col min="9489" max="9489" width="11.88671875" style="183" customWidth="1"/>
    <col min="9490" max="9492" width="11.33203125" style="183" customWidth="1"/>
    <col min="9493" max="9493" width="11.88671875" style="183" customWidth="1"/>
    <col min="9494" max="9728" width="9.109375" style="183"/>
    <col min="9729" max="9729" width="6.44140625" style="183" customWidth="1"/>
    <col min="9730" max="9730" width="30.6640625" style="183" customWidth="1"/>
    <col min="9731" max="9732" width="11.5546875" style="183" customWidth="1"/>
    <col min="9733" max="9734" width="8.6640625" style="183" customWidth="1"/>
    <col min="9735" max="9738" width="9.88671875" style="183" bestFit="1" customWidth="1"/>
    <col min="9739" max="9740" width="8.6640625" style="183" customWidth="1"/>
    <col min="9741" max="9741" width="10.6640625" style="183" customWidth="1"/>
    <col min="9742" max="9742" width="34.6640625" style="183" customWidth="1"/>
    <col min="9743" max="9744" width="11.33203125" style="183" customWidth="1"/>
    <col min="9745" max="9745" width="11.88671875" style="183" customWidth="1"/>
    <col min="9746" max="9748" width="11.33203125" style="183" customWidth="1"/>
    <col min="9749" max="9749" width="11.88671875" style="183" customWidth="1"/>
    <col min="9750" max="9984" width="9.109375" style="183"/>
    <col min="9985" max="9985" width="6.44140625" style="183" customWidth="1"/>
    <col min="9986" max="9986" width="30.6640625" style="183" customWidth="1"/>
    <col min="9987" max="9988" width="11.5546875" style="183" customWidth="1"/>
    <col min="9989" max="9990" width="8.6640625" style="183" customWidth="1"/>
    <col min="9991" max="9994" width="9.88671875" style="183" bestFit="1" customWidth="1"/>
    <col min="9995" max="9996" width="8.6640625" style="183" customWidth="1"/>
    <col min="9997" max="9997" width="10.6640625" style="183" customWidth="1"/>
    <col min="9998" max="9998" width="34.6640625" style="183" customWidth="1"/>
    <col min="9999" max="10000" width="11.33203125" style="183" customWidth="1"/>
    <col min="10001" max="10001" width="11.88671875" style="183" customWidth="1"/>
    <col min="10002" max="10004" width="11.33203125" style="183" customWidth="1"/>
    <col min="10005" max="10005" width="11.88671875" style="183" customWidth="1"/>
    <col min="10006" max="10240" width="9.109375" style="183"/>
    <col min="10241" max="10241" width="6.44140625" style="183" customWidth="1"/>
    <col min="10242" max="10242" width="30.6640625" style="183" customWidth="1"/>
    <col min="10243" max="10244" width="11.5546875" style="183" customWidth="1"/>
    <col min="10245" max="10246" width="8.6640625" style="183" customWidth="1"/>
    <col min="10247" max="10250" width="9.88671875" style="183" bestFit="1" customWidth="1"/>
    <col min="10251" max="10252" width="8.6640625" style="183" customWidth="1"/>
    <col min="10253" max="10253" width="10.6640625" style="183" customWidth="1"/>
    <col min="10254" max="10254" width="34.6640625" style="183" customWidth="1"/>
    <col min="10255" max="10256" width="11.33203125" style="183" customWidth="1"/>
    <col min="10257" max="10257" width="11.88671875" style="183" customWidth="1"/>
    <col min="10258" max="10260" width="11.33203125" style="183" customWidth="1"/>
    <col min="10261" max="10261" width="11.88671875" style="183" customWidth="1"/>
    <col min="10262" max="10496" width="9.109375" style="183"/>
    <col min="10497" max="10497" width="6.44140625" style="183" customWidth="1"/>
    <col min="10498" max="10498" width="30.6640625" style="183" customWidth="1"/>
    <col min="10499" max="10500" width="11.5546875" style="183" customWidth="1"/>
    <col min="10501" max="10502" width="8.6640625" style="183" customWidth="1"/>
    <col min="10503" max="10506" width="9.88671875" style="183" bestFit="1" customWidth="1"/>
    <col min="10507" max="10508" width="8.6640625" style="183" customWidth="1"/>
    <col min="10509" max="10509" width="10.6640625" style="183" customWidth="1"/>
    <col min="10510" max="10510" width="34.6640625" style="183" customWidth="1"/>
    <col min="10511" max="10512" width="11.33203125" style="183" customWidth="1"/>
    <col min="10513" max="10513" width="11.88671875" style="183" customWidth="1"/>
    <col min="10514" max="10516" width="11.33203125" style="183" customWidth="1"/>
    <col min="10517" max="10517" width="11.88671875" style="183" customWidth="1"/>
    <col min="10518" max="10752" width="9.109375" style="183"/>
    <col min="10753" max="10753" width="6.44140625" style="183" customWidth="1"/>
    <col min="10754" max="10754" width="30.6640625" style="183" customWidth="1"/>
    <col min="10755" max="10756" width="11.5546875" style="183" customWidth="1"/>
    <col min="10757" max="10758" width="8.6640625" style="183" customWidth="1"/>
    <col min="10759" max="10762" width="9.88671875" style="183" bestFit="1" customWidth="1"/>
    <col min="10763" max="10764" width="8.6640625" style="183" customWidth="1"/>
    <col min="10765" max="10765" width="10.6640625" style="183" customWidth="1"/>
    <col min="10766" max="10766" width="34.6640625" style="183" customWidth="1"/>
    <col min="10767" max="10768" width="11.33203125" style="183" customWidth="1"/>
    <col min="10769" max="10769" width="11.88671875" style="183" customWidth="1"/>
    <col min="10770" max="10772" width="11.33203125" style="183" customWidth="1"/>
    <col min="10773" max="10773" width="11.88671875" style="183" customWidth="1"/>
    <col min="10774" max="11008" width="9.109375" style="183"/>
    <col min="11009" max="11009" width="6.44140625" style="183" customWidth="1"/>
    <col min="11010" max="11010" width="30.6640625" style="183" customWidth="1"/>
    <col min="11011" max="11012" width="11.5546875" style="183" customWidth="1"/>
    <col min="11013" max="11014" width="8.6640625" style="183" customWidth="1"/>
    <col min="11015" max="11018" width="9.88671875" style="183" bestFit="1" customWidth="1"/>
    <col min="11019" max="11020" width="8.6640625" style="183" customWidth="1"/>
    <col min="11021" max="11021" width="10.6640625" style="183" customWidth="1"/>
    <col min="11022" max="11022" width="34.6640625" style="183" customWidth="1"/>
    <col min="11023" max="11024" width="11.33203125" style="183" customWidth="1"/>
    <col min="11025" max="11025" width="11.88671875" style="183" customWidth="1"/>
    <col min="11026" max="11028" width="11.33203125" style="183" customWidth="1"/>
    <col min="11029" max="11029" width="11.88671875" style="183" customWidth="1"/>
    <col min="11030" max="11264" width="9.109375" style="183"/>
    <col min="11265" max="11265" width="6.44140625" style="183" customWidth="1"/>
    <col min="11266" max="11266" width="30.6640625" style="183" customWidth="1"/>
    <col min="11267" max="11268" width="11.5546875" style="183" customWidth="1"/>
    <col min="11269" max="11270" width="8.6640625" style="183" customWidth="1"/>
    <col min="11271" max="11274" width="9.88671875" style="183" bestFit="1" customWidth="1"/>
    <col min="11275" max="11276" width="8.6640625" style="183" customWidth="1"/>
    <col min="11277" max="11277" width="10.6640625" style="183" customWidth="1"/>
    <col min="11278" max="11278" width="34.6640625" style="183" customWidth="1"/>
    <col min="11279" max="11280" width="11.33203125" style="183" customWidth="1"/>
    <col min="11281" max="11281" width="11.88671875" style="183" customWidth="1"/>
    <col min="11282" max="11284" width="11.33203125" style="183" customWidth="1"/>
    <col min="11285" max="11285" width="11.88671875" style="183" customWidth="1"/>
    <col min="11286" max="11520" width="9.109375" style="183"/>
    <col min="11521" max="11521" width="6.44140625" style="183" customWidth="1"/>
    <col min="11522" max="11522" width="30.6640625" style="183" customWidth="1"/>
    <col min="11523" max="11524" width="11.5546875" style="183" customWidth="1"/>
    <col min="11525" max="11526" width="8.6640625" style="183" customWidth="1"/>
    <col min="11527" max="11530" width="9.88671875" style="183" bestFit="1" customWidth="1"/>
    <col min="11531" max="11532" width="8.6640625" style="183" customWidth="1"/>
    <col min="11533" max="11533" width="10.6640625" style="183" customWidth="1"/>
    <col min="11534" max="11534" width="34.6640625" style="183" customWidth="1"/>
    <col min="11535" max="11536" width="11.33203125" style="183" customWidth="1"/>
    <col min="11537" max="11537" width="11.88671875" style="183" customWidth="1"/>
    <col min="11538" max="11540" width="11.33203125" style="183" customWidth="1"/>
    <col min="11541" max="11541" width="11.88671875" style="183" customWidth="1"/>
    <col min="11542" max="11776" width="9.109375" style="183"/>
    <col min="11777" max="11777" width="6.44140625" style="183" customWidth="1"/>
    <col min="11778" max="11778" width="30.6640625" style="183" customWidth="1"/>
    <col min="11779" max="11780" width="11.5546875" style="183" customWidth="1"/>
    <col min="11781" max="11782" width="8.6640625" style="183" customWidth="1"/>
    <col min="11783" max="11786" width="9.88671875" style="183" bestFit="1" customWidth="1"/>
    <col min="11787" max="11788" width="8.6640625" style="183" customWidth="1"/>
    <col min="11789" max="11789" width="10.6640625" style="183" customWidth="1"/>
    <col min="11790" max="11790" width="34.6640625" style="183" customWidth="1"/>
    <col min="11791" max="11792" width="11.33203125" style="183" customWidth="1"/>
    <col min="11793" max="11793" width="11.88671875" style="183" customWidth="1"/>
    <col min="11794" max="11796" width="11.33203125" style="183" customWidth="1"/>
    <col min="11797" max="11797" width="11.88671875" style="183" customWidth="1"/>
    <col min="11798" max="12032" width="9.109375" style="183"/>
    <col min="12033" max="12033" width="6.44140625" style="183" customWidth="1"/>
    <col min="12034" max="12034" width="30.6640625" style="183" customWidth="1"/>
    <col min="12035" max="12036" width="11.5546875" style="183" customWidth="1"/>
    <col min="12037" max="12038" width="8.6640625" style="183" customWidth="1"/>
    <col min="12039" max="12042" width="9.88671875" style="183" bestFit="1" customWidth="1"/>
    <col min="12043" max="12044" width="8.6640625" style="183" customWidth="1"/>
    <col min="12045" max="12045" width="10.6640625" style="183" customWidth="1"/>
    <col min="12046" max="12046" width="34.6640625" style="183" customWidth="1"/>
    <col min="12047" max="12048" width="11.33203125" style="183" customWidth="1"/>
    <col min="12049" max="12049" width="11.88671875" style="183" customWidth="1"/>
    <col min="12050" max="12052" width="11.33203125" style="183" customWidth="1"/>
    <col min="12053" max="12053" width="11.88671875" style="183" customWidth="1"/>
    <col min="12054" max="12288" width="9.109375" style="183"/>
    <col min="12289" max="12289" width="6.44140625" style="183" customWidth="1"/>
    <col min="12290" max="12290" width="30.6640625" style="183" customWidth="1"/>
    <col min="12291" max="12292" width="11.5546875" style="183" customWidth="1"/>
    <col min="12293" max="12294" width="8.6640625" style="183" customWidth="1"/>
    <col min="12295" max="12298" width="9.88671875" style="183" bestFit="1" customWidth="1"/>
    <col min="12299" max="12300" width="8.6640625" style="183" customWidth="1"/>
    <col min="12301" max="12301" width="10.6640625" style="183" customWidth="1"/>
    <col min="12302" max="12302" width="34.6640625" style="183" customWidth="1"/>
    <col min="12303" max="12304" width="11.33203125" style="183" customWidth="1"/>
    <col min="12305" max="12305" width="11.88671875" style="183" customWidth="1"/>
    <col min="12306" max="12308" width="11.33203125" style="183" customWidth="1"/>
    <col min="12309" max="12309" width="11.88671875" style="183" customWidth="1"/>
    <col min="12310" max="12544" width="9.109375" style="183"/>
    <col min="12545" max="12545" width="6.44140625" style="183" customWidth="1"/>
    <col min="12546" max="12546" width="30.6640625" style="183" customWidth="1"/>
    <col min="12547" max="12548" width="11.5546875" style="183" customWidth="1"/>
    <col min="12549" max="12550" width="8.6640625" style="183" customWidth="1"/>
    <col min="12551" max="12554" width="9.88671875" style="183" bestFit="1" customWidth="1"/>
    <col min="12555" max="12556" width="8.6640625" style="183" customWidth="1"/>
    <col min="12557" max="12557" width="10.6640625" style="183" customWidth="1"/>
    <col min="12558" max="12558" width="34.6640625" style="183" customWidth="1"/>
    <col min="12559" max="12560" width="11.33203125" style="183" customWidth="1"/>
    <col min="12561" max="12561" width="11.88671875" style="183" customWidth="1"/>
    <col min="12562" max="12564" width="11.33203125" style="183" customWidth="1"/>
    <col min="12565" max="12565" width="11.88671875" style="183" customWidth="1"/>
    <col min="12566" max="12800" width="9.109375" style="183"/>
    <col min="12801" max="12801" width="6.44140625" style="183" customWidth="1"/>
    <col min="12802" max="12802" width="30.6640625" style="183" customWidth="1"/>
    <col min="12803" max="12804" width="11.5546875" style="183" customWidth="1"/>
    <col min="12805" max="12806" width="8.6640625" style="183" customWidth="1"/>
    <col min="12807" max="12810" width="9.88671875" style="183" bestFit="1" customWidth="1"/>
    <col min="12811" max="12812" width="8.6640625" style="183" customWidth="1"/>
    <col min="12813" max="12813" width="10.6640625" style="183" customWidth="1"/>
    <col min="12814" max="12814" width="34.6640625" style="183" customWidth="1"/>
    <col min="12815" max="12816" width="11.33203125" style="183" customWidth="1"/>
    <col min="12817" max="12817" width="11.88671875" style="183" customWidth="1"/>
    <col min="12818" max="12820" width="11.33203125" style="183" customWidth="1"/>
    <col min="12821" max="12821" width="11.88671875" style="183" customWidth="1"/>
    <col min="12822" max="13056" width="9.109375" style="183"/>
    <col min="13057" max="13057" width="6.44140625" style="183" customWidth="1"/>
    <col min="13058" max="13058" width="30.6640625" style="183" customWidth="1"/>
    <col min="13059" max="13060" width="11.5546875" style="183" customWidth="1"/>
    <col min="13061" max="13062" width="8.6640625" style="183" customWidth="1"/>
    <col min="13063" max="13066" width="9.88671875" style="183" bestFit="1" customWidth="1"/>
    <col min="13067" max="13068" width="8.6640625" style="183" customWidth="1"/>
    <col min="13069" max="13069" width="10.6640625" style="183" customWidth="1"/>
    <col min="13070" max="13070" width="34.6640625" style="183" customWidth="1"/>
    <col min="13071" max="13072" width="11.33203125" style="183" customWidth="1"/>
    <col min="13073" max="13073" width="11.88671875" style="183" customWidth="1"/>
    <col min="13074" max="13076" width="11.33203125" style="183" customWidth="1"/>
    <col min="13077" max="13077" width="11.88671875" style="183" customWidth="1"/>
    <col min="13078" max="13312" width="9.109375" style="183"/>
    <col min="13313" max="13313" width="6.44140625" style="183" customWidth="1"/>
    <col min="13314" max="13314" width="30.6640625" style="183" customWidth="1"/>
    <col min="13315" max="13316" width="11.5546875" style="183" customWidth="1"/>
    <col min="13317" max="13318" width="8.6640625" style="183" customWidth="1"/>
    <col min="13319" max="13322" width="9.88671875" style="183" bestFit="1" customWidth="1"/>
    <col min="13323" max="13324" width="8.6640625" style="183" customWidth="1"/>
    <col min="13325" max="13325" width="10.6640625" style="183" customWidth="1"/>
    <col min="13326" max="13326" width="34.6640625" style="183" customWidth="1"/>
    <col min="13327" max="13328" width="11.33203125" style="183" customWidth="1"/>
    <col min="13329" max="13329" width="11.88671875" style="183" customWidth="1"/>
    <col min="13330" max="13332" width="11.33203125" style="183" customWidth="1"/>
    <col min="13333" max="13333" width="11.88671875" style="183" customWidth="1"/>
    <col min="13334" max="13568" width="9.109375" style="183"/>
    <col min="13569" max="13569" width="6.44140625" style="183" customWidth="1"/>
    <col min="13570" max="13570" width="30.6640625" style="183" customWidth="1"/>
    <col min="13571" max="13572" width="11.5546875" style="183" customWidth="1"/>
    <col min="13573" max="13574" width="8.6640625" style="183" customWidth="1"/>
    <col min="13575" max="13578" width="9.88671875" style="183" bestFit="1" customWidth="1"/>
    <col min="13579" max="13580" width="8.6640625" style="183" customWidth="1"/>
    <col min="13581" max="13581" width="10.6640625" style="183" customWidth="1"/>
    <col min="13582" max="13582" width="34.6640625" style="183" customWidth="1"/>
    <col min="13583" max="13584" width="11.33203125" style="183" customWidth="1"/>
    <col min="13585" max="13585" width="11.88671875" style="183" customWidth="1"/>
    <col min="13586" max="13588" width="11.33203125" style="183" customWidth="1"/>
    <col min="13589" max="13589" width="11.88671875" style="183" customWidth="1"/>
    <col min="13590" max="13824" width="9.109375" style="183"/>
    <col min="13825" max="13825" width="6.44140625" style="183" customWidth="1"/>
    <col min="13826" max="13826" width="30.6640625" style="183" customWidth="1"/>
    <col min="13827" max="13828" width="11.5546875" style="183" customWidth="1"/>
    <col min="13829" max="13830" width="8.6640625" style="183" customWidth="1"/>
    <col min="13831" max="13834" width="9.88671875" style="183" bestFit="1" customWidth="1"/>
    <col min="13835" max="13836" width="8.6640625" style="183" customWidth="1"/>
    <col min="13837" max="13837" width="10.6640625" style="183" customWidth="1"/>
    <col min="13838" max="13838" width="34.6640625" style="183" customWidth="1"/>
    <col min="13839" max="13840" width="11.33203125" style="183" customWidth="1"/>
    <col min="13841" max="13841" width="11.88671875" style="183" customWidth="1"/>
    <col min="13842" max="13844" width="11.33203125" style="183" customWidth="1"/>
    <col min="13845" max="13845" width="11.88671875" style="183" customWidth="1"/>
    <col min="13846" max="14080" width="9.109375" style="183"/>
    <col min="14081" max="14081" width="6.44140625" style="183" customWidth="1"/>
    <col min="14082" max="14082" width="30.6640625" style="183" customWidth="1"/>
    <col min="14083" max="14084" width="11.5546875" style="183" customWidth="1"/>
    <col min="14085" max="14086" width="8.6640625" style="183" customWidth="1"/>
    <col min="14087" max="14090" width="9.88671875" style="183" bestFit="1" customWidth="1"/>
    <col min="14091" max="14092" width="8.6640625" style="183" customWidth="1"/>
    <col min="14093" max="14093" width="10.6640625" style="183" customWidth="1"/>
    <col min="14094" max="14094" width="34.6640625" style="183" customWidth="1"/>
    <col min="14095" max="14096" width="11.33203125" style="183" customWidth="1"/>
    <col min="14097" max="14097" width="11.88671875" style="183" customWidth="1"/>
    <col min="14098" max="14100" width="11.33203125" style="183" customWidth="1"/>
    <col min="14101" max="14101" width="11.88671875" style="183" customWidth="1"/>
    <col min="14102" max="14336" width="9.109375" style="183"/>
    <col min="14337" max="14337" width="6.44140625" style="183" customWidth="1"/>
    <col min="14338" max="14338" width="30.6640625" style="183" customWidth="1"/>
    <col min="14339" max="14340" width="11.5546875" style="183" customWidth="1"/>
    <col min="14341" max="14342" width="8.6640625" style="183" customWidth="1"/>
    <col min="14343" max="14346" width="9.88671875" style="183" bestFit="1" customWidth="1"/>
    <col min="14347" max="14348" width="8.6640625" style="183" customWidth="1"/>
    <col min="14349" max="14349" width="10.6640625" style="183" customWidth="1"/>
    <col min="14350" max="14350" width="34.6640625" style="183" customWidth="1"/>
    <col min="14351" max="14352" width="11.33203125" style="183" customWidth="1"/>
    <col min="14353" max="14353" width="11.88671875" style="183" customWidth="1"/>
    <col min="14354" max="14356" width="11.33203125" style="183" customWidth="1"/>
    <col min="14357" max="14357" width="11.88671875" style="183" customWidth="1"/>
    <col min="14358" max="14592" width="9.109375" style="183"/>
    <col min="14593" max="14593" width="6.44140625" style="183" customWidth="1"/>
    <col min="14594" max="14594" width="30.6640625" style="183" customWidth="1"/>
    <col min="14595" max="14596" width="11.5546875" style="183" customWidth="1"/>
    <col min="14597" max="14598" width="8.6640625" style="183" customWidth="1"/>
    <col min="14599" max="14602" width="9.88671875" style="183" bestFit="1" customWidth="1"/>
    <col min="14603" max="14604" width="8.6640625" style="183" customWidth="1"/>
    <col min="14605" max="14605" width="10.6640625" style="183" customWidth="1"/>
    <col min="14606" max="14606" width="34.6640625" style="183" customWidth="1"/>
    <col min="14607" max="14608" width="11.33203125" style="183" customWidth="1"/>
    <col min="14609" max="14609" width="11.88671875" style="183" customWidth="1"/>
    <col min="14610" max="14612" width="11.33203125" style="183" customWidth="1"/>
    <col min="14613" max="14613" width="11.88671875" style="183" customWidth="1"/>
    <col min="14614" max="14848" width="9.109375" style="183"/>
    <col min="14849" max="14849" width="6.44140625" style="183" customWidth="1"/>
    <col min="14850" max="14850" width="30.6640625" style="183" customWidth="1"/>
    <col min="14851" max="14852" width="11.5546875" style="183" customWidth="1"/>
    <col min="14853" max="14854" width="8.6640625" style="183" customWidth="1"/>
    <col min="14855" max="14858" width="9.88671875" style="183" bestFit="1" customWidth="1"/>
    <col min="14859" max="14860" width="8.6640625" style="183" customWidth="1"/>
    <col min="14861" max="14861" width="10.6640625" style="183" customWidth="1"/>
    <col min="14862" max="14862" width="34.6640625" style="183" customWidth="1"/>
    <col min="14863" max="14864" width="11.33203125" style="183" customWidth="1"/>
    <col min="14865" max="14865" width="11.88671875" style="183" customWidth="1"/>
    <col min="14866" max="14868" width="11.33203125" style="183" customWidth="1"/>
    <col min="14869" max="14869" width="11.88671875" style="183" customWidth="1"/>
    <col min="14870" max="15104" width="9.109375" style="183"/>
    <col min="15105" max="15105" width="6.44140625" style="183" customWidth="1"/>
    <col min="15106" max="15106" width="30.6640625" style="183" customWidth="1"/>
    <col min="15107" max="15108" width="11.5546875" style="183" customWidth="1"/>
    <col min="15109" max="15110" width="8.6640625" style="183" customWidth="1"/>
    <col min="15111" max="15114" width="9.88671875" style="183" bestFit="1" customWidth="1"/>
    <col min="15115" max="15116" width="8.6640625" style="183" customWidth="1"/>
    <col min="15117" max="15117" width="10.6640625" style="183" customWidth="1"/>
    <col min="15118" max="15118" width="34.6640625" style="183" customWidth="1"/>
    <col min="15119" max="15120" width="11.33203125" style="183" customWidth="1"/>
    <col min="15121" max="15121" width="11.88671875" style="183" customWidth="1"/>
    <col min="15122" max="15124" width="11.33203125" style="183" customWidth="1"/>
    <col min="15125" max="15125" width="11.88671875" style="183" customWidth="1"/>
    <col min="15126" max="15360" width="9.109375" style="183"/>
    <col min="15361" max="15361" width="6.44140625" style="183" customWidth="1"/>
    <col min="15362" max="15362" width="30.6640625" style="183" customWidth="1"/>
    <col min="15363" max="15364" width="11.5546875" style="183" customWidth="1"/>
    <col min="15365" max="15366" width="8.6640625" style="183" customWidth="1"/>
    <col min="15367" max="15370" width="9.88671875" style="183" bestFit="1" customWidth="1"/>
    <col min="15371" max="15372" width="8.6640625" style="183" customWidth="1"/>
    <col min="15373" max="15373" width="10.6640625" style="183" customWidth="1"/>
    <col min="15374" max="15374" width="34.6640625" style="183" customWidth="1"/>
    <col min="15375" max="15376" width="11.33203125" style="183" customWidth="1"/>
    <col min="15377" max="15377" width="11.88671875" style="183" customWidth="1"/>
    <col min="15378" max="15380" width="11.33203125" style="183" customWidth="1"/>
    <col min="15381" max="15381" width="11.88671875" style="183" customWidth="1"/>
    <col min="15382" max="15616" width="9.109375" style="183"/>
    <col min="15617" max="15617" width="6.44140625" style="183" customWidth="1"/>
    <col min="15618" max="15618" width="30.6640625" style="183" customWidth="1"/>
    <col min="15619" max="15620" width="11.5546875" style="183" customWidth="1"/>
    <col min="15621" max="15622" width="8.6640625" style="183" customWidth="1"/>
    <col min="15623" max="15626" width="9.88671875" style="183" bestFit="1" customWidth="1"/>
    <col min="15627" max="15628" width="8.6640625" style="183" customWidth="1"/>
    <col min="15629" max="15629" width="10.6640625" style="183" customWidth="1"/>
    <col min="15630" max="15630" width="34.6640625" style="183" customWidth="1"/>
    <col min="15631" max="15632" width="11.33203125" style="183" customWidth="1"/>
    <col min="15633" max="15633" width="11.88671875" style="183" customWidth="1"/>
    <col min="15634" max="15636" width="11.33203125" style="183" customWidth="1"/>
    <col min="15637" max="15637" width="11.88671875" style="183" customWidth="1"/>
    <col min="15638" max="15872" width="9.109375" style="183"/>
    <col min="15873" max="15873" width="6.44140625" style="183" customWidth="1"/>
    <col min="15874" max="15874" width="30.6640625" style="183" customWidth="1"/>
    <col min="15875" max="15876" width="11.5546875" style="183" customWidth="1"/>
    <col min="15877" max="15878" width="8.6640625" style="183" customWidth="1"/>
    <col min="15879" max="15882" width="9.88671875" style="183" bestFit="1" customWidth="1"/>
    <col min="15883" max="15884" width="8.6640625" style="183" customWidth="1"/>
    <col min="15885" max="15885" width="10.6640625" style="183" customWidth="1"/>
    <col min="15886" max="15886" width="34.6640625" style="183" customWidth="1"/>
    <col min="15887" max="15888" width="11.33203125" style="183" customWidth="1"/>
    <col min="15889" max="15889" width="11.88671875" style="183" customWidth="1"/>
    <col min="15890" max="15892" width="11.33203125" style="183" customWidth="1"/>
    <col min="15893" max="15893" width="11.88671875" style="183" customWidth="1"/>
    <col min="15894" max="16128" width="9.109375" style="183"/>
    <col min="16129" max="16129" width="6.44140625" style="183" customWidth="1"/>
    <col min="16130" max="16130" width="30.6640625" style="183" customWidth="1"/>
    <col min="16131" max="16132" width="11.5546875" style="183" customWidth="1"/>
    <col min="16133" max="16134" width="8.6640625" style="183" customWidth="1"/>
    <col min="16135" max="16138" width="9.88671875" style="183" bestFit="1" customWidth="1"/>
    <col min="16139" max="16140" width="8.6640625" style="183" customWidth="1"/>
    <col min="16141" max="16141" width="10.6640625" style="183" customWidth="1"/>
    <col min="16142" max="16142" width="34.6640625" style="183" customWidth="1"/>
    <col min="16143" max="16144" width="11.33203125" style="183" customWidth="1"/>
    <col min="16145" max="16145" width="11.88671875" style="183" customWidth="1"/>
    <col min="16146" max="16148" width="11.33203125" style="183" customWidth="1"/>
    <col min="16149" max="16149" width="11.88671875" style="183" customWidth="1"/>
    <col min="16150" max="16384" width="9.109375" style="183"/>
  </cols>
  <sheetData>
    <row r="1" spans="1:21" ht="13.8" x14ac:dyDescent="0.25">
      <c r="A1" s="20"/>
      <c r="B1" s="20"/>
      <c r="C1" s="20"/>
      <c r="D1" s="20"/>
      <c r="E1" s="20"/>
      <c r="F1" s="20"/>
      <c r="G1" s="20"/>
      <c r="H1" s="20"/>
      <c r="I1" s="20"/>
      <c r="J1" s="20"/>
      <c r="K1" s="20"/>
      <c r="L1" s="20"/>
      <c r="M1" s="13" t="s">
        <v>961</v>
      </c>
    </row>
    <row r="2" spans="1:21" ht="12.75" customHeight="1" x14ac:dyDescent="0.25">
      <c r="A2" s="186"/>
      <c r="B2" s="187"/>
      <c r="C2" s="186"/>
      <c r="D2" s="186"/>
      <c r="E2" s="186"/>
      <c r="F2" s="186"/>
      <c r="G2" s="186"/>
      <c r="H2" s="186"/>
      <c r="I2" s="186"/>
      <c r="J2" s="186"/>
      <c r="K2" s="186"/>
      <c r="L2" s="186"/>
      <c r="M2" s="186"/>
    </row>
    <row r="3" spans="1:21" ht="12.75" customHeight="1" x14ac:dyDescent="0.25">
      <c r="A3" s="584" t="s">
        <v>206</v>
      </c>
      <c r="B3" s="584"/>
      <c r="C3" s="584"/>
      <c r="D3" s="584"/>
      <c r="E3" s="584"/>
      <c r="F3" s="584"/>
      <c r="G3" s="584"/>
      <c r="H3" s="584"/>
      <c r="I3" s="584"/>
      <c r="J3" s="584"/>
      <c r="K3" s="584"/>
      <c r="L3" s="584"/>
      <c r="M3" s="584"/>
    </row>
    <row r="4" spans="1:21" ht="12.75" customHeight="1" x14ac:dyDescent="0.25">
      <c r="A4" s="584" t="s">
        <v>960</v>
      </c>
      <c r="B4" s="588"/>
      <c r="C4" s="588"/>
      <c r="D4" s="588"/>
      <c r="E4" s="588"/>
      <c r="F4" s="588"/>
      <c r="G4" s="588"/>
      <c r="H4" s="588"/>
      <c r="I4" s="588"/>
      <c r="J4" s="588"/>
      <c r="K4" s="588"/>
      <c r="L4" s="588"/>
      <c r="M4" s="588"/>
      <c r="U4" s="188"/>
    </row>
    <row r="5" spans="1:21" ht="12.75" customHeight="1" x14ac:dyDescent="0.25">
      <c r="A5" s="189"/>
      <c r="K5" s="185"/>
      <c r="N5" s="184"/>
      <c r="T5" s="183"/>
    </row>
    <row r="6" spans="1:21" ht="12.75" customHeight="1" x14ac:dyDescent="0.25">
      <c r="A6" s="584" t="s">
        <v>207</v>
      </c>
      <c r="B6" s="584"/>
      <c r="C6" s="584"/>
      <c r="D6" s="584"/>
      <c r="E6" s="584"/>
      <c r="F6" s="584"/>
      <c r="G6" s="584"/>
      <c r="H6" s="584"/>
      <c r="I6" s="584"/>
      <c r="J6" s="584"/>
      <c r="K6" s="584"/>
      <c r="L6" s="584"/>
      <c r="M6" s="584"/>
    </row>
    <row r="7" spans="1:21" ht="12.75" customHeight="1" x14ac:dyDescent="0.25">
      <c r="A7" s="186"/>
      <c r="B7" s="186"/>
      <c r="C7" s="186"/>
      <c r="D7" s="186"/>
      <c r="E7" s="186"/>
      <c r="F7" s="186"/>
      <c r="G7" s="186"/>
      <c r="H7" s="186"/>
      <c r="I7" s="186"/>
      <c r="J7" s="186"/>
      <c r="K7" s="186"/>
      <c r="L7" s="186"/>
      <c r="M7" s="191" t="s">
        <v>208</v>
      </c>
    </row>
    <row r="8" spans="1:21" ht="12.75" customHeight="1" x14ac:dyDescent="0.25">
      <c r="A8" s="585" t="s">
        <v>209</v>
      </c>
      <c r="B8" s="586" t="s">
        <v>210</v>
      </c>
      <c r="C8" s="586" t="s">
        <v>228</v>
      </c>
      <c r="D8" s="586" t="s">
        <v>211</v>
      </c>
      <c r="E8" s="587" t="s">
        <v>212</v>
      </c>
      <c r="F8" s="587"/>
      <c r="G8" s="587"/>
      <c r="H8" s="587"/>
      <c r="I8" s="587"/>
      <c r="J8" s="587"/>
      <c r="K8" s="587"/>
      <c r="L8" s="587"/>
      <c r="M8" s="193"/>
    </row>
    <row r="9" spans="1:21" ht="35.25" customHeight="1" x14ac:dyDescent="0.25">
      <c r="A9" s="585"/>
      <c r="B9" s="586"/>
      <c r="C9" s="586"/>
      <c r="D9" s="586"/>
      <c r="E9" s="192" t="s">
        <v>213</v>
      </c>
      <c r="F9" s="192" t="s">
        <v>214</v>
      </c>
      <c r="G9" s="194" t="s">
        <v>215</v>
      </c>
      <c r="H9" s="192" t="s">
        <v>216</v>
      </c>
      <c r="I9" s="194" t="s">
        <v>217</v>
      </c>
      <c r="J9" s="194" t="s">
        <v>218</v>
      </c>
      <c r="K9" s="192" t="s">
        <v>219</v>
      </c>
      <c r="L9" s="192" t="s">
        <v>229</v>
      </c>
      <c r="M9" s="195" t="s">
        <v>220</v>
      </c>
      <c r="O9" s="183"/>
      <c r="P9" s="183"/>
      <c r="Q9" s="183"/>
      <c r="R9" s="183"/>
      <c r="S9" s="183"/>
      <c r="T9" s="183"/>
    </row>
    <row r="10" spans="1:21" x14ac:dyDescent="0.25">
      <c r="A10" s="196" t="s">
        <v>221</v>
      </c>
      <c r="B10" s="197"/>
      <c r="C10" s="198"/>
      <c r="D10" s="198"/>
      <c r="E10" s="198"/>
      <c r="F10" s="198"/>
      <c r="G10" s="199"/>
      <c r="H10" s="199"/>
      <c r="I10" s="199"/>
      <c r="J10" s="199"/>
      <c r="K10" s="200"/>
      <c r="L10" s="199"/>
      <c r="M10" s="198">
        <f>SUM(E10:L10)</f>
        <v>0</v>
      </c>
      <c r="O10" s="183"/>
      <c r="P10" s="183"/>
      <c r="Q10" s="183"/>
      <c r="R10" s="183"/>
      <c r="S10" s="183"/>
      <c r="T10" s="183"/>
    </row>
    <row r="11" spans="1:21" x14ac:dyDescent="0.25">
      <c r="A11" s="201" t="s">
        <v>222</v>
      </c>
      <c r="B11" s="202"/>
      <c r="C11" s="203"/>
      <c r="D11" s="203"/>
      <c r="E11" s="203"/>
      <c r="F11" s="203"/>
      <c r="G11" s="204"/>
      <c r="H11" s="204"/>
      <c r="I11" s="204"/>
      <c r="J11" s="204"/>
      <c r="K11" s="205"/>
      <c r="L11" s="204"/>
      <c r="M11" s="203">
        <f>SUM(E11:L11)</f>
        <v>0</v>
      </c>
      <c r="O11" s="183"/>
      <c r="P11" s="183"/>
      <c r="Q11" s="183"/>
      <c r="R11" s="183"/>
      <c r="S11" s="183"/>
      <c r="T11" s="183"/>
    </row>
    <row r="12" spans="1:21" x14ac:dyDescent="0.25">
      <c r="A12" s="201" t="s">
        <v>223</v>
      </c>
      <c r="B12" s="202"/>
      <c r="C12" s="203"/>
      <c r="D12" s="203"/>
      <c r="E12" s="203"/>
      <c r="F12" s="203"/>
      <c r="G12" s="204"/>
      <c r="H12" s="204"/>
      <c r="I12" s="204"/>
      <c r="J12" s="204"/>
      <c r="K12" s="205"/>
      <c r="L12" s="204"/>
      <c r="M12" s="203">
        <f>SUM(E12:L12)</f>
        <v>0</v>
      </c>
      <c r="O12" s="183"/>
      <c r="P12" s="183"/>
      <c r="Q12" s="183"/>
      <c r="R12" s="183"/>
      <c r="S12" s="183"/>
      <c r="T12" s="183"/>
    </row>
    <row r="13" spans="1:21" x14ac:dyDescent="0.25">
      <c r="A13" s="204"/>
      <c r="B13" s="206" t="s">
        <v>23</v>
      </c>
      <c r="C13" s="205">
        <f>SUM(C10:C12)</f>
        <v>0</v>
      </c>
      <c r="D13" s="205"/>
      <c r="E13" s="205">
        <f t="shared" ref="E13:M13" si="0">SUM(E10:E12)</f>
        <v>0</v>
      </c>
      <c r="F13" s="205">
        <f t="shared" si="0"/>
        <v>0</v>
      </c>
      <c r="G13" s="205">
        <f t="shared" si="0"/>
        <v>0</v>
      </c>
      <c r="H13" s="205">
        <f t="shared" si="0"/>
        <v>0</v>
      </c>
      <c r="I13" s="205">
        <f t="shared" si="0"/>
        <v>0</v>
      </c>
      <c r="J13" s="205">
        <f t="shared" si="0"/>
        <v>0</v>
      </c>
      <c r="K13" s="205">
        <f t="shared" si="0"/>
        <v>0</v>
      </c>
      <c r="L13" s="205">
        <f t="shared" si="0"/>
        <v>0</v>
      </c>
      <c r="M13" s="205">
        <f t="shared" si="0"/>
        <v>0</v>
      </c>
      <c r="O13" s="183"/>
      <c r="P13" s="183"/>
      <c r="Q13" s="183"/>
      <c r="R13" s="183"/>
      <c r="S13" s="183"/>
      <c r="T13" s="183"/>
    </row>
    <row r="14" spans="1:21" x14ac:dyDescent="0.25">
      <c r="B14" s="207"/>
      <c r="C14" s="208"/>
      <c r="D14" s="208"/>
      <c r="E14" s="208"/>
      <c r="F14" s="208"/>
      <c r="G14" s="208"/>
      <c r="H14" s="208"/>
      <c r="I14" s="208"/>
      <c r="J14" s="208"/>
      <c r="K14" s="208"/>
      <c r="L14" s="208"/>
      <c r="M14" s="208"/>
      <c r="O14" s="183"/>
      <c r="P14" s="183"/>
      <c r="Q14" s="183"/>
      <c r="R14" s="183"/>
      <c r="S14" s="183"/>
      <c r="T14" s="183"/>
    </row>
    <row r="15" spans="1:21" ht="12.75" customHeight="1" x14ac:dyDescent="0.25">
      <c r="A15" s="584" t="s">
        <v>224</v>
      </c>
      <c r="B15" s="584"/>
      <c r="C15" s="584"/>
      <c r="D15" s="584"/>
      <c r="E15" s="584"/>
      <c r="F15" s="584"/>
      <c r="G15" s="584"/>
      <c r="H15" s="584"/>
      <c r="I15" s="584"/>
      <c r="J15" s="584"/>
      <c r="K15" s="584"/>
      <c r="L15" s="584"/>
      <c r="M15" s="584"/>
    </row>
    <row r="16" spans="1:21" ht="12.75" customHeight="1" x14ac:dyDescent="0.25">
      <c r="L16" s="185"/>
      <c r="M16" s="191" t="s">
        <v>208</v>
      </c>
    </row>
    <row r="17" spans="1:20" ht="12.75" customHeight="1" x14ac:dyDescent="0.25">
      <c r="A17" s="589" t="s">
        <v>209</v>
      </c>
      <c r="B17" s="591" t="s">
        <v>210</v>
      </c>
      <c r="C17" s="591" t="s">
        <v>228</v>
      </c>
      <c r="D17" s="591" t="s">
        <v>211</v>
      </c>
      <c r="E17" s="587" t="s">
        <v>212</v>
      </c>
      <c r="F17" s="587"/>
      <c r="G17" s="587"/>
      <c r="H17" s="587"/>
      <c r="I17" s="587"/>
      <c r="J17" s="587"/>
      <c r="K17" s="587"/>
      <c r="L17" s="587"/>
      <c r="M17" s="593" t="s">
        <v>225</v>
      </c>
    </row>
    <row r="18" spans="1:20" ht="35.25" customHeight="1" x14ac:dyDescent="0.25">
      <c r="A18" s="590"/>
      <c r="B18" s="592"/>
      <c r="C18" s="592"/>
      <c r="D18" s="592"/>
      <c r="E18" s="192" t="s">
        <v>213</v>
      </c>
      <c r="F18" s="192" t="s">
        <v>214</v>
      </c>
      <c r="G18" s="194" t="s">
        <v>215</v>
      </c>
      <c r="H18" s="192" t="s">
        <v>216</v>
      </c>
      <c r="I18" s="194" t="s">
        <v>217</v>
      </c>
      <c r="J18" s="194" t="s">
        <v>218</v>
      </c>
      <c r="K18" s="192" t="s">
        <v>219</v>
      </c>
      <c r="L18" s="192" t="s">
        <v>229</v>
      </c>
      <c r="M18" s="594"/>
      <c r="O18" s="183"/>
      <c r="P18" s="183"/>
      <c r="Q18" s="183"/>
      <c r="R18" s="183"/>
      <c r="S18" s="183"/>
      <c r="T18" s="183"/>
    </row>
    <row r="19" spans="1:20" ht="26.4" x14ac:dyDescent="0.25">
      <c r="A19" s="201" t="s">
        <v>221</v>
      </c>
      <c r="B19" s="202" t="s">
        <v>226</v>
      </c>
      <c r="C19" s="203">
        <v>158333336</v>
      </c>
      <c r="D19" s="203">
        <v>0</v>
      </c>
      <c r="E19" s="203">
        <v>26388888</v>
      </c>
      <c r="F19" s="203">
        <v>26388888</v>
      </c>
      <c r="G19" s="203">
        <v>26388888</v>
      </c>
      <c r="H19" s="203">
        <v>26388888</v>
      </c>
      <c r="I19" s="203">
        <v>26388888</v>
      </c>
      <c r="J19" s="203">
        <v>26388896</v>
      </c>
      <c r="K19" s="203"/>
      <c r="L19" s="203">
        <v>0</v>
      </c>
      <c r="M19" s="209">
        <f t="shared" ref="M19:M22" si="1">SUM(E19:L19)</f>
        <v>158333336</v>
      </c>
      <c r="O19" s="183"/>
      <c r="P19" s="183"/>
      <c r="Q19" s="183"/>
      <c r="R19" s="183"/>
      <c r="S19" s="183"/>
      <c r="T19" s="183"/>
    </row>
    <row r="20" spans="1:20" ht="12.75" customHeight="1" x14ac:dyDescent="0.25">
      <c r="A20" s="201" t="s">
        <v>222</v>
      </c>
      <c r="B20" s="202"/>
      <c r="C20" s="203"/>
      <c r="D20" s="203"/>
      <c r="E20" s="203"/>
      <c r="F20" s="210"/>
      <c r="G20" s="210"/>
      <c r="H20" s="203"/>
      <c r="I20" s="203"/>
      <c r="J20" s="203"/>
      <c r="K20" s="203"/>
      <c r="L20" s="203"/>
      <c r="M20" s="209">
        <f t="shared" si="1"/>
        <v>0</v>
      </c>
      <c r="O20" s="183"/>
      <c r="P20" s="183"/>
      <c r="Q20" s="183"/>
      <c r="R20" s="183"/>
      <c r="S20" s="183"/>
      <c r="T20" s="183"/>
    </row>
    <row r="21" spans="1:20" ht="12.75" customHeight="1" x14ac:dyDescent="0.25">
      <c r="A21" s="201" t="s">
        <v>223</v>
      </c>
      <c r="B21" s="202"/>
      <c r="C21" s="203"/>
      <c r="D21" s="203"/>
      <c r="E21" s="203"/>
      <c r="F21" s="210"/>
      <c r="G21" s="210"/>
      <c r="H21" s="203"/>
      <c r="I21" s="203"/>
      <c r="J21" s="203"/>
      <c r="K21" s="203"/>
      <c r="L21" s="203"/>
      <c r="M21" s="209">
        <f t="shared" si="1"/>
        <v>0</v>
      </c>
      <c r="O21" s="183"/>
      <c r="P21" s="183"/>
      <c r="Q21" s="183"/>
      <c r="R21" s="183"/>
      <c r="S21" s="183"/>
      <c r="T21" s="183"/>
    </row>
    <row r="22" spans="1:20" ht="12.75" customHeight="1" x14ac:dyDescent="0.25">
      <c r="A22" s="201" t="s">
        <v>227</v>
      </c>
      <c r="B22" s="202"/>
      <c r="C22" s="203"/>
      <c r="D22" s="203"/>
      <c r="E22" s="203"/>
      <c r="F22" s="210"/>
      <c r="G22" s="210"/>
      <c r="H22" s="203"/>
      <c r="I22" s="203"/>
      <c r="J22" s="203"/>
      <c r="K22" s="203"/>
      <c r="L22" s="203"/>
      <c r="M22" s="209">
        <f t="shared" si="1"/>
        <v>0</v>
      </c>
      <c r="O22" s="183"/>
      <c r="P22" s="183"/>
      <c r="Q22" s="183"/>
      <c r="R22" s="183"/>
      <c r="S22" s="183"/>
      <c r="T22" s="183"/>
    </row>
    <row r="23" spans="1:20" ht="12.75" customHeight="1" x14ac:dyDescent="0.25">
      <c r="A23" s="201"/>
      <c r="B23" s="206" t="s">
        <v>23</v>
      </c>
      <c r="C23" s="209">
        <f t="shared" ref="C23:M23" si="2">SUM(C19:C22)</f>
        <v>158333336</v>
      </c>
      <c r="D23" s="209">
        <f t="shared" si="2"/>
        <v>0</v>
      </c>
      <c r="E23" s="209">
        <f t="shared" si="2"/>
        <v>26388888</v>
      </c>
      <c r="F23" s="209">
        <f t="shared" si="2"/>
        <v>26388888</v>
      </c>
      <c r="G23" s="209">
        <f t="shared" si="2"/>
        <v>26388888</v>
      </c>
      <c r="H23" s="209">
        <f t="shared" si="2"/>
        <v>26388888</v>
      </c>
      <c r="I23" s="209">
        <f t="shared" si="2"/>
        <v>26388888</v>
      </c>
      <c r="J23" s="209">
        <f t="shared" si="2"/>
        <v>26388896</v>
      </c>
      <c r="K23" s="209">
        <f t="shared" si="2"/>
        <v>0</v>
      </c>
      <c r="L23" s="209">
        <f t="shared" si="2"/>
        <v>0</v>
      </c>
      <c r="M23" s="209">
        <f t="shared" si="2"/>
        <v>158333336</v>
      </c>
      <c r="O23" s="183"/>
      <c r="P23" s="183"/>
      <c r="Q23" s="183"/>
      <c r="R23" s="183"/>
      <c r="S23" s="183"/>
      <c r="T23" s="183"/>
    </row>
    <row r="26" spans="1:20" x14ac:dyDescent="0.25">
      <c r="F26" s="184"/>
      <c r="G26" s="184"/>
      <c r="H26" s="184"/>
    </row>
  </sheetData>
  <mergeCells count="15">
    <mergeCell ref="A15:M15"/>
    <mergeCell ref="A17:A18"/>
    <mergeCell ref="B17:B18"/>
    <mergeCell ref="C17:C18"/>
    <mergeCell ref="D17:D18"/>
    <mergeCell ref="E17:L17"/>
    <mergeCell ref="M17:M18"/>
    <mergeCell ref="A3:M3"/>
    <mergeCell ref="A6:M6"/>
    <mergeCell ref="A8:A9"/>
    <mergeCell ref="B8:B9"/>
    <mergeCell ref="C8:C9"/>
    <mergeCell ref="D8:D9"/>
    <mergeCell ref="E8:L8"/>
    <mergeCell ref="A4:M4"/>
  </mergeCells>
  <printOptions horizontalCentered="1"/>
  <pageMargins left="0.19685039370078741" right="0.19685039370078741" top="0.5" bottom="0.19685039370078741" header="0.51181102362204722" footer="0.17"/>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8C84E-1721-4CCD-96E7-0D0D0DDAFF36}">
  <dimension ref="A1:L10"/>
  <sheetViews>
    <sheetView view="pageBreakPreview" zoomScaleNormal="100" zoomScaleSheetLayoutView="100" workbookViewId="0">
      <selection activeCell="B4" sqref="B4"/>
    </sheetView>
  </sheetViews>
  <sheetFormatPr defaultRowHeight="13.2" x14ac:dyDescent="0.25"/>
  <cols>
    <col min="1" max="1" width="2.44140625" style="211" customWidth="1"/>
    <col min="2" max="2" width="24.44140625" style="212" customWidth="1"/>
    <col min="3" max="3" width="15.44140625" style="211" customWidth="1"/>
    <col min="4" max="4" width="17.88671875" style="211" customWidth="1"/>
    <col min="5" max="5" width="14.109375" style="211" customWidth="1"/>
    <col min="6" max="6" width="14.44140625" style="211" customWidth="1"/>
    <col min="7" max="7" width="10.44140625" style="211" bestFit="1" customWidth="1"/>
    <col min="8" max="8" width="10.44140625" style="211" customWidth="1"/>
    <col min="9" max="9" width="10.109375" style="211" customWidth="1"/>
    <col min="10" max="10" width="10.5546875" style="211" customWidth="1"/>
    <col min="11" max="11" width="10.44140625" style="211" bestFit="1" customWidth="1"/>
    <col min="12" max="256" width="9.109375" style="211"/>
    <col min="257" max="257" width="2.44140625" style="211" customWidth="1"/>
    <col min="258" max="258" width="24.44140625" style="211" customWidth="1"/>
    <col min="259" max="259" width="15.44140625" style="211" customWidth="1"/>
    <col min="260" max="260" width="17.88671875" style="211" customWidth="1"/>
    <col min="261" max="261" width="14.109375" style="211" customWidth="1"/>
    <col min="262" max="262" width="14.44140625" style="211" customWidth="1"/>
    <col min="263" max="263" width="10.44140625" style="211" bestFit="1" customWidth="1"/>
    <col min="264" max="264" width="10.44140625" style="211" customWidth="1"/>
    <col min="265" max="265" width="10.109375" style="211" customWidth="1"/>
    <col min="266" max="266" width="10.5546875" style="211" customWidth="1"/>
    <col min="267" max="267" width="10.44140625" style="211" bestFit="1" customWidth="1"/>
    <col min="268" max="512" width="9.109375" style="211"/>
    <col min="513" max="513" width="2.44140625" style="211" customWidth="1"/>
    <col min="514" max="514" width="24.44140625" style="211" customWidth="1"/>
    <col min="515" max="515" width="15.44140625" style="211" customWidth="1"/>
    <col min="516" max="516" width="17.88671875" style="211" customWidth="1"/>
    <col min="517" max="517" width="14.109375" style="211" customWidth="1"/>
    <col min="518" max="518" width="14.44140625" style="211" customWidth="1"/>
    <col min="519" max="519" width="10.44140625" style="211" bestFit="1" customWidth="1"/>
    <col min="520" max="520" width="10.44140625" style="211" customWidth="1"/>
    <col min="521" max="521" width="10.109375" style="211" customWidth="1"/>
    <col min="522" max="522" width="10.5546875" style="211" customWidth="1"/>
    <col min="523" max="523" width="10.44140625" style="211" bestFit="1" customWidth="1"/>
    <col min="524" max="768" width="9.109375" style="211"/>
    <col min="769" max="769" width="2.44140625" style="211" customWidth="1"/>
    <col min="770" max="770" width="24.44140625" style="211" customWidth="1"/>
    <col min="771" max="771" width="15.44140625" style="211" customWidth="1"/>
    <col min="772" max="772" width="17.88671875" style="211" customWidth="1"/>
    <col min="773" max="773" width="14.109375" style="211" customWidth="1"/>
    <col min="774" max="774" width="14.44140625" style="211" customWidth="1"/>
    <col min="775" max="775" width="10.44140625" style="211" bestFit="1" customWidth="1"/>
    <col min="776" max="776" width="10.44140625" style="211" customWidth="1"/>
    <col min="777" max="777" width="10.109375" style="211" customWidth="1"/>
    <col min="778" max="778" width="10.5546875" style="211" customWidth="1"/>
    <col min="779" max="779" width="10.44140625" style="211" bestFit="1" customWidth="1"/>
    <col min="780" max="1024" width="9.109375" style="211"/>
    <col min="1025" max="1025" width="2.44140625" style="211" customWidth="1"/>
    <col min="1026" max="1026" width="24.44140625" style="211" customWidth="1"/>
    <col min="1027" max="1027" width="15.44140625" style="211" customWidth="1"/>
    <col min="1028" max="1028" width="17.88671875" style="211" customWidth="1"/>
    <col min="1029" max="1029" width="14.109375" style="211" customWidth="1"/>
    <col min="1030" max="1030" width="14.44140625" style="211" customWidth="1"/>
    <col min="1031" max="1031" width="10.44140625" style="211" bestFit="1" customWidth="1"/>
    <col min="1032" max="1032" width="10.44140625" style="211" customWidth="1"/>
    <col min="1033" max="1033" width="10.109375" style="211" customWidth="1"/>
    <col min="1034" max="1034" width="10.5546875" style="211" customWidth="1"/>
    <col min="1035" max="1035" width="10.44140625" style="211" bestFit="1" customWidth="1"/>
    <col min="1036" max="1280" width="9.109375" style="211"/>
    <col min="1281" max="1281" width="2.44140625" style="211" customWidth="1"/>
    <col min="1282" max="1282" width="24.44140625" style="211" customWidth="1"/>
    <col min="1283" max="1283" width="15.44140625" style="211" customWidth="1"/>
    <col min="1284" max="1284" width="17.88671875" style="211" customWidth="1"/>
    <col min="1285" max="1285" width="14.109375" style="211" customWidth="1"/>
    <col min="1286" max="1286" width="14.44140625" style="211" customWidth="1"/>
    <col min="1287" max="1287" width="10.44140625" style="211" bestFit="1" customWidth="1"/>
    <col min="1288" max="1288" width="10.44140625" style="211" customWidth="1"/>
    <col min="1289" max="1289" width="10.109375" style="211" customWidth="1"/>
    <col min="1290" max="1290" width="10.5546875" style="211" customWidth="1"/>
    <col min="1291" max="1291" width="10.44140625" style="211" bestFit="1" customWidth="1"/>
    <col min="1292" max="1536" width="9.109375" style="211"/>
    <col min="1537" max="1537" width="2.44140625" style="211" customWidth="1"/>
    <col min="1538" max="1538" width="24.44140625" style="211" customWidth="1"/>
    <col min="1539" max="1539" width="15.44140625" style="211" customWidth="1"/>
    <col min="1540" max="1540" width="17.88671875" style="211" customWidth="1"/>
    <col min="1541" max="1541" width="14.109375" style="211" customWidth="1"/>
    <col min="1542" max="1542" width="14.44140625" style="211" customWidth="1"/>
    <col min="1543" max="1543" width="10.44140625" style="211" bestFit="1" customWidth="1"/>
    <col min="1544" max="1544" width="10.44140625" style="211" customWidth="1"/>
    <col min="1545" max="1545" width="10.109375" style="211" customWidth="1"/>
    <col min="1546" max="1546" width="10.5546875" style="211" customWidth="1"/>
    <col min="1547" max="1547" width="10.44140625" style="211" bestFit="1" customWidth="1"/>
    <col min="1548" max="1792" width="9.109375" style="211"/>
    <col min="1793" max="1793" width="2.44140625" style="211" customWidth="1"/>
    <col min="1794" max="1794" width="24.44140625" style="211" customWidth="1"/>
    <col min="1795" max="1795" width="15.44140625" style="211" customWidth="1"/>
    <col min="1796" max="1796" width="17.88671875" style="211" customWidth="1"/>
    <col min="1797" max="1797" width="14.109375" style="211" customWidth="1"/>
    <col min="1798" max="1798" width="14.44140625" style="211" customWidth="1"/>
    <col min="1799" max="1799" width="10.44140625" style="211" bestFit="1" customWidth="1"/>
    <col min="1800" max="1800" width="10.44140625" style="211" customWidth="1"/>
    <col min="1801" max="1801" width="10.109375" style="211" customWidth="1"/>
    <col min="1802" max="1802" width="10.5546875" style="211" customWidth="1"/>
    <col min="1803" max="1803" width="10.44140625" style="211" bestFit="1" customWidth="1"/>
    <col min="1804" max="2048" width="9.109375" style="211"/>
    <col min="2049" max="2049" width="2.44140625" style="211" customWidth="1"/>
    <col min="2050" max="2050" width="24.44140625" style="211" customWidth="1"/>
    <col min="2051" max="2051" width="15.44140625" style="211" customWidth="1"/>
    <col min="2052" max="2052" width="17.88671875" style="211" customWidth="1"/>
    <col min="2053" max="2053" width="14.109375" style="211" customWidth="1"/>
    <col min="2054" max="2054" width="14.44140625" style="211" customWidth="1"/>
    <col min="2055" max="2055" width="10.44140625" style="211" bestFit="1" customWidth="1"/>
    <col min="2056" max="2056" width="10.44140625" style="211" customWidth="1"/>
    <col min="2057" max="2057" width="10.109375" style="211" customWidth="1"/>
    <col min="2058" max="2058" width="10.5546875" style="211" customWidth="1"/>
    <col min="2059" max="2059" width="10.44140625" style="211" bestFit="1" customWidth="1"/>
    <col min="2060" max="2304" width="9.109375" style="211"/>
    <col min="2305" max="2305" width="2.44140625" style="211" customWidth="1"/>
    <col min="2306" max="2306" width="24.44140625" style="211" customWidth="1"/>
    <col min="2307" max="2307" width="15.44140625" style="211" customWidth="1"/>
    <col min="2308" max="2308" width="17.88671875" style="211" customWidth="1"/>
    <col min="2309" max="2309" width="14.109375" style="211" customWidth="1"/>
    <col min="2310" max="2310" width="14.44140625" style="211" customWidth="1"/>
    <col min="2311" max="2311" width="10.44140625" style="211" bestFit="1" customWidth="1"/>
    <col min="2312" max="2312" width="10.44140625" style="211" customWidth="1"/>
    <col min="2313" max="2313" width="10.109375" style="211" customWidth="1"/>
    <col min="2314" max="2314" width="10.5546875" style="211" customWidth="1"/>
    <col min="2315" max="2315" width="10.44140625" style="211" bestFit="1" customWidth="1"/>
    <col min="2316" max="2560" width="9.109375" style="211"/>
    <col min="2561" max="2561" width="2.44140625" style="211" customWidth="1"/>
    <col min="2562" max="2562" width="24.44140625" style="211" customWidth="1"/>
    <col min="2563" max="2563" width="15.44140625" style="211" customWidth="1"/>
    <col min="2564" max="2564" width="17.88671875" style="211" customWidth="1"/>
    <col min="2565" max="2565" width="14.109375" style="211" customWidth="1"/>
    <col min="2566" max="2566" width="14.44140625" style="211" customWidth="1"/>
    <col min="2567" max="2567" width="10.44140625" style="211" bestFit="1" customWidth="1"/>
    <col min="2568" max="2568" width="10.44140625" style="211" customWidth="1"/>
    <col min="2569" max="2569" width="10.109375" style="211" customWidth="1"/>
    <col min="2570" max="2570" width="10.5546875" style="211" customWidth="1"/>
    <col min="2571" max="2571" width="10.44140625" style="211" bestFit="1" customWidth="1"/>
    <col min="2572" max="2816" width="9.109375" style="211"/>
    <col min="2817" max="2817" width="2.44140625" style="211" customWidth="1"/>
    <col min="2818" max="2818" width="24.44140625" style="211" customWidth="1"/>
    <col min="2819" max="2819" width="15.44140625" style="211" customWidth="1"/>
    <col min="2820" max="2820" width="17.88671875" style="211" customWidth="1"/>
    <col min="2821" max="2821" width="14.109375" style="211" customWidth="1"/>
    <col min="2822" max="2822" width="14.44140625" style="211" customWidth="1"/>
    <col min="2823" max="2823" width="10.44140625" style="211" bestFit="1" customWidth="1"/>
    <col min="2824" max="2824" width="10.44140625" style="211" customWidth="1"/>
    <col min="2825" max="2825" width="10.109375" style="211" customWidth="1"/>
    <col min="2826" max="2826" width="10.5546875" style="211" customWidth="1"/>
    <col min="2827" max="2827" width="10.44140625" style="211" bestFit="1" customWidth="1"/>
    <col min="2828" max="3072" width="9.109375" style="211"/>
    <col min="3073" max="3073" width="2.44140625" style="211" customWidth="1"/>
    <col min="3074" max="3074" width="24.44140625" style="211" customWidth="1"/>
    <col min="3075" max="3075" width="15.44140625" style="211" customWidth="1"/>
    <col min="3076" max="3076" width="17.88671875" style="211" customWidth="1"/>
    <col min="3077" max="3077" width="14.109375" style="211" customWidth="1"/>
    <col min="3078" max="3078" width="14.44140625" style="211" customWidth="1"/>
    <col min="3079" max="3079" width="10.44140625" style="211" bestFit="1" customWidth="1"/>
    <col min="3080" max="3080" width="10.44140625" style="211" customWidth="1"/>
    <col min="3081" max="3081" width="10.109375" style="211" customWidth="1"/>
    <col min="3082" max="3082" width="10.5546875" style="211" customWidth="1"/>
    <col min="3083" max="3083" width="10.44140625" style="211" bestFit="1" customWidth="1"/>
    <col min="3084" max="3328" width="9.109375" style="211"/>
    <col min="3329" max="3329" width="2.44140625" style="211" customWidth="1"/>
    <col min="3330" max="3330" width="24.44140625" style="211" customWidth="1"/>
    <col min="3331" max="3331" width="15.44140625" style="211" customWidth="1"/>
    <col min="3332" max="3332" width="17.88671875" style="211" customWidth="1"/>
    <col min="3333" max="3333" width="14.109375" style="211" customWidth="1"/>
    <col min="3334" max="3334" width="14.44140625" style="211" customWidth="1"/>
    <col min="3335" max="3335" width="10.44140625" style="211" bestFit="1" customWidth="1"/>
    <col min="3336" max="3336" width="10.44140625" style="211" customWidth="1"/>
    <col min="3337" max="3337" width="10.109375" style="211" customWidth="1"/>
    <col min="3338" max="3338" width="10.5546875" style="211" customWidth="1"/>
    <col min="3339" max="3339" width="10.44140625" style="211" bestFit="1" customWidth="1"/>
    <col min="3340" max="3584" width="9.109375" style="211"/>
    <col min="3585" max="3585" width="2.44140625" style="211" customWidth="1"/>
    <col min="3586" max="3586" width="24.44140625" style="211" customWidth="1"/>
    <col min="3587" max="3587" width="15.44140625" style="211" customWidth="1"/>
    <col min="3588" max="3588" width="17.88671875" style="211" customWidth="1"/>
    <col min="3589" max="3589" width="14.109375" style="211" customWidth="1"/>
    <col min="3590" max="3590" width="14.44140625" style="211" customWidth="1"/>
    <col min="3591" max="3591" width="10.44140625" style="211" bestFit="1" customWidth="1"/>
    <col min="3592" max="3592" width="10.44140625" style="211" customWidth="1"/>
    <col min="3593" max="3593" width="10.109375" style="211" customWidth="1"/>
    <col min="3594" max="3594" width="10.5546875" style="211" customWidth="1"/>
    <col min="3595" max="3595" width="10.44140625" style="211" bestFit="1" customWidth="1"/>
    <col min="3596" max="3840" width="9.109375" style="211"/>
    <col min="3841" max="3841" width="2.44140625" style="211" customWidth="1"/>
    <col min="3842" max="3842" width="24.44140625" style="211" customWidth="1"/>
    <col min="3843" max="3843" width="15.44140625" style="211" customWidth="1"/>
    <col min="3844" max="3844" width="17.88671875" style="211" customWidth="1"/>
    <col min="3845" max="3845" width="14.109375" style="211" customWidth="1"/>
    <col min="3846" max="3846" width="14.44140625" style="211" customWidth="1"/>
    <col min="3847" max="3847" width="10.44140625" style="211" bestFit="1" customWidth="1"/>
    <col min="3848" max="3848" width="10.44140625" style="211" customWidth="1"/>
    <col min="3849" max="3849" width="10.109375" style="211" customWidth="1"/>
    <col min="3850" max="3850" width="10.5546875" style="211" customWidth="1"/>
    <col min="3851" max="3851" width="10.44140625" style="211" bestFit="1" customWidth="1"/>
    <col min="3852" max="4096" width="9.109375" style="211"/>
    <col min="4097" max="4097" width="2.44140625" style="211" customWidth="1"/>
    <col min="4098" max="4098" width="24.44140625" style="211" customWidth="1"/>
    <col min="4099" max="4099" width="15.44140625" style="211" customWidth="1"/>
    <col min="4100" max="4100" width="17.88671875" style="211" customWidth="1"/>
    <col min="4101" max="4101" width="14.109375" style="211" customWidth="1"/>
    <col min="4102" max="4102" width="14.44140625" style="211" customWidth="1"/>
    <col min="4103" max="4103" width="10.44140625" style="211" bestFit="1" customWidth="1"/>
    <col min="4104" max="4104" width="10.44140625" style="211" customWidth="1"/>
    <col min="4105" max="4105" width="10.109375" style="211" customWidth="1"/>
    <col min="4106" max="4106" width="10.5546875" style="211" customWidth="1"/>
    <col min="4107" max="4107" width="10.44140625" style="211" bestFit="1" customWidth="1"/>
    <col min="4108" max="4352" width="9.109375" style="211"/>
    <col min="4353" max="4353" width="2.44140625" style="211" customWidth="1"/>
    <col min="4354" max="4354" width="24.44140625" style="211" customWidth="1"/>
    <col min="4355" max="4355" width="15.44140625" style="211" customWidth="1"/>
    <col min="4356" max="4356" width="17.88671875" style="211" customWidth="1"/>
    <col min="4357" max="4357" width="14.109375" style="211" customWidth="1"/>
    <col min="4358" max="4358" width="14.44140625" style="211" customWidth="1"/>
    <col min="4359" max="4359" width="10.44140625" style="211" bestFit="1" customWidth="1"/>
    <col min="4360" max="4360" width="10.44140625" style="211" customWidth="1"/>
    <col min="4361" max="4361" width="10.109375" style="211" customWidth="1"/>
    <col min="4362" max="4362" width="10.5546875" style="211" customWidth="1"/>
    <col min="4363" max="4363" width="10.44140625" style="211" bestFit="1" customWidth="1"/>
    <col min="4364" max="4608" width="9.109375" style="211"/>
    <col min="4609" max="4609" width="2.44140625" style="211" customWidth="1"/>
    <col min="4610" max="4610" width="24.44140625" style="211" customWidth="1"/>
    <col min="4611" max="4611" width="15.44140625" style="211" customWidth="1"/>
    <col min="4612" max="4612" width="17.88671875" style="211" customWidth="1"/>
    <col min="4613" max="4613" width="14.109375" style="211" customWidth="1"/>
    <col min="4614" max="4614" width="14.44140625" style="211" customWidth="1"/>
    <col min="4615" max="4615" width="10.44140625" style="211" bestFit="1" customWidth="1"/>
    <col min="4616" max="4616" width="10.44140625" style="211" customWidth="1"/>
    <col min="4617" max="4617" width="10.109375" style="211" customWidth="1"/>
    <col min="4618" max="4618" width="10.5546875" style="211" customWidth="1"/>
    <col min="4619" max="4619" width="10.44140625" style="211" bestFit="1" customWidth="1"/>
    <col min="4620" max="4864" width="9.109375" style="211"/>
    <col min="4865" max="4865" width="2.44140625" style="211" customWidth="1"/>
    <col min="4866" max="4866" width="24.44140625" style="211" customWidth="1"/>
    <col min="4867" max="4867" width="15.44140625" style="211" customWidth="1"/>
    <col min="4868" max="4868" width="17.88671875" style="211" customWidth="1"/>
    <col min="4869" max="4869" width="14.109375" style="211" customWidth="1"/>
    <col min="4870" max="4870" width="14.44140625" style="211" customWidth="1"/>
    <col min="4871" max="4871" width="10.44140625" style="211" bestFit="1" customWidth="1"/>
    <col min="4872" max="4872" width="10.44140625" style="211" customWidth="1"/>
    <col min="4873" max="4873" width="10.109375" style="211" customWidth="1"/>
    <col min="4874" max="4874" width="10.5546875" style="211" customWidth="1"/>
    <col min="4875" max="4875" width="10.44140625" style="211" bestFit="1" customWidth="1"/>
    <col min="4876" max="5120" width="9.109375" style="211"/>
    <col min="5121" max="5121" width="2.44140625" style="211" customWidth="1"/>
    <col min="5122" max="5122" width="24.44140625" style="211" customWidth="1"/>
    <col min="5123" max="5123" width="15.44140625" style="211" customWidth="1"/>
    <col min="5124" max="5124" width="17.88671875" style="211" customWidth="1"/>
    <col min="5125" max="5125" width="14.109375" style="211" customWidth="1"/>
    <col min="5126" max="5126" width="14.44140625" style="211" customWidth="1"/>
    <col min="5127" max="5127" width="10.44140625" style="211" bestFit="1" customWidth="1"/>
    <col min="5128" max="5128" width="10.44140625" style="211" customWidth="1"/>
    <col min="5129" max="5129" width="10.109375" style="211" customWidth="1"/>
    <col min="5130" max="5130" width="10.5546875" style="211" customWidth="1"/>
    <col min="5131" max="5131" width="10.44140625" style="211" bestFit="1" customWidth="1"/>
    <col min="5132" max="5376" width="9.109375" style="211"/>
    <col min="5377" max="5377" width="2.44140625" style="211" customWidth="1"/>
    <col min="5378" max="5378" width="24.44140625" style="211" customWidth="1"/>
    <col min="5379" max="5379" width="15.44140625" style="211" customWidth="1"/>
    <col min="5380" max="5380" width="17.88671875" style="211" customWidth="1"/>
    <col min="5381" max="5381" width="14.109375" style="211" customWidth="1"/>
    <col min="5382" max="5382" width="14.44140625" style="211" customWidth="1"/>
    <col min="5383" max="5383" width="10.44140625" style="211" bestFit="1" customWidth="1"/>
    <col min="5384" max="5384" width="10.44140625" style="211" customWidth="1"/>
    <col min="5385" max="5385" width="10.109375" style="211" customWidth="1"/>
    <col min="5386" max="5386" width="10.5546875" style="211" customWidth="1"/>
    <col min="5387" max="5387" width="10.44140625" style="211" bestFit="1" customWidth="1"/>
    <col min="5388" max="5632" width="9.109375" style="211"/>
    <col min="5633" max="5633" width="2.44140625" style="211" customWidth="1"/>
    <col min="5634" max="5634" width="24.44140625" style="211" customWidth="1"/>
    <col min="5635" max="5635" width="15.44140625" style="211" customWidth="1"/>
    <col min="5636" max="5636" width="17.88671875" style="211" customWidth="1"/>
    <col min="5637" max="5637" width="14.109375" style="211" customWidth="1"/>
    <col min="5638" max="5638" width="14.44140625" style="211" customWidth="1"/>
    <col min="5639" max="5639" width="10.44140625" style="211" bestFit="1" customWidth="1"/>
    <col min="5640" max="5640" width="10.44140625" style="211" customWidth="1"/>
    <col min="5641" max="5641" width="10.109375" style="211" customWidth="1"/>
    <col min="5642" max="5642" width="10.5546875" style="211" customWidth="1"/>
    <col min="5643" max="5643" width="10.44140625" style="211" bestFit="1" customWidth="1"/>
    <col min="5644" max="5888" width="9.109375" style="211"/>
    <col min="5889" max="5889" width="2.44140625" style="211" customWidth="1"/>
    <col min="5890" max="5890" width="24.44140625" style="211" customWidth="1"/>
    <col min="5891" max="5891" width="15.44140625" style="211" customWidth="1"/>
    <col min="5892" max="5892" width="17.88671875" style="211" customWidth="1"/>
    <col min="5893" max="5893" width="14.109375" style="211" customWidth="1"/>
    <col min="5894" max="5894" width="14.44140625" style="211" customWidth="1"/>
    <col min="5895" max="5895" width="10.44140625" style="211" bestFit="1" customWidth="1"/>
    <col min="5896" max="5896" width="10.44140625" style="211" customWidth="1"/>
    <col min="5897" max="5897" width="10.109375" style="211" customWidth="1"/>
    <col min="5898" max="5898" width="10.5546875" style="211" customWidth="1"/>
    <col min="5899" max="5899" width="10.44140625" style="211" bestFit="1" customWidth="1"/>
    <col min="5900" max="6144" width="9.109375" style="211"/>
    <col min="6145" max="6145" width="2.44140625" style="211" customWidth="1"/>
    <col min="6146" max="6146" width="24.44140625" style="211" customWidth="1"/>
    <col min="6147" max="6147" width="15.44140625" style="211" customWidth="1"/>
    <col min="6148" max="6148" width="17.88671875" style="211" customWidth="1"/>
    <col min="6149" max="6149" width="14.109375" style="211" customWidth="1"/>
    <col min="6150" max="6150" width="14.44140625" style="211" customWidth="1"/>
    <col min="6151" max="6151" width="10.44140625" style="211" bestFit="1" customWidth="1"/>
    <col min="6152" max="6152" width="10.44140625" style="211" customWidth="1"/>
    <col min="6153" max="6153" width="10.109375" style="211" customWidth="1"/>
    <col min="6154" max="6154" width="10.5546875" style="211" customWidth="1"/>
    <col min="6155" max="6155" width="10.44140625" style="211" bestFit="1" customWidth="1"/>
    <col min="6156" max="6400" width="9.109375" style="211"/>
    <col min="6401" max="6401" width="2.44140625" style="211" customWidth="1"/>
    <col min="6402" max="6402" width="24.44140625" style="211" customWidth="1"/>
    <col min="6403" max="6403" width="15.44140625" style="211" customWidth="1"/>
    <col min="6404" max="6404" width="17.88671875" style="211" customWidth="1"/>
    <col min="6405" max="6405" width="14.109375" style="211" customWidth="1"/>
    <col min="6406" max="6406" width="14.44140625" style="211" customWidth="1"/>
    <col min="6407" max="6407" width="10.44140625" style="211" bestFit="1" customWidth="1"/>
    <col min="6408" max="6408" width="10.44140625" style="211" customWidth="1"/>
    <col min="6409" max="6409" width="10.109375" style="211" customWidth="1"/>
    <col min="6410" max="6410" width="10.5546875" style="211" customWidth="1"/>
    <col min="6411" max="6411" width="10.44140625" style="211" bestFit="1" customWidth="1"/>
    <col min="6412" max="6656" width="9.109375" style="211"/>
    <col min="6657" max="6657" width="2.44140625" style="211" customWidth="1"/>
    <col min="6658" max="6658" width="24.44140625" style="211" customWidth="1"/>
    <col min="6659" max="6659" width="15.44140625" style="211" customWidth="1"/>
    <col min="6660" max="6660" width="17.88671875" style="211" customWidth="1"/>
    <col min="6661" max="6661" width="14.109375" style="211" customWidth="1"/>
    <col min="6662" max="6662" width="14.44140625" style="211" customWidth="1"/>
    <col min="6663" max="6663" width="10.44140625" style="211" bestFit="1" customWidth="1"/>
    <col min="6664" max="6664" width="10.44140625" style="211" customWidth="1"/>
    <col min="6665" max="6665" width="10.109375" style="211" customWidth="1"/>
    <col min="6666" max="6666" width="10.5546875" style="211" customWidth="1"/>
    <col min="6667" max="6667" width="10.44140625" style="211" bestFit="1" customWidth="1"/>
    <col min="6668" max="6912" width="9.109375" style="211"/>
    <col min="6913" max="6913" width="2.44140625" style="211" customWidth="1"/>
    <col min="6914" max="6914" width="24.44140625" style="211" customWidth="1"/>
    <col min="6915" max="6915" width="15.44140625" style="211" customWidth="1"/>
    <col min="6916" max="6916" width="17.88671875" style="211" customWidth="1"/>
    <col min="6917" max="6917" width="14.109375" style="211" customWidth="1"/>
    <col min="6918" max="6918" width="14.44140625" style="211" customWidth="1"/>
    <col min="6919" max="6919" width="10.44140625" style="211" bestFit="1" customWidth="1"/>
    <col min="6920" max="6920" width="10.44140625" style="211" customWidth="1"/>
    <col min="6921" max="6921" width="10.109375" style="211" customWidth="1"/>
    <col min="6922" max="6922" width="10.5546875" style="211" customWidth="1"/>
    <col min="6923" max="6923" width="10.44140625" style="211" bestFit="1" customWidth="1"/>
    <col min="6924" max="7168" width="9.109375" style="211"/>
    <col min="7169" max="7169" width="2.44140625" style="211" customWidth="1"/>
    <col min="7170" max="7170" width="24.44140625" style="211" customWidth="1"/>
    <col min="7171" max="7171" width="15.44140625" style="211" customWidth="1"/>
    <col min="7172" max="7172" width="17.88671875" style="211" customWidth="1"/>
    <col min="7173" max="7173" width="14.109375" style="211" customWidth="1"/>
    <col min="7174" max="7174" width="14.44140625" style="211" customWidth="1"/>
    <col min="7175" max="7175" width="10.44140625" style="211" bestFit="1" customWidth="1"/>
    <col min="7176" max="7176" width="10.44140625" style="211" customWidth="1"/>
    <col min="7177" max="7177" width="10.109375" style="211" customWidth="1"/>
    <col min="7178" max="7178" width="10.5546875" style="211" customWidth="1"/>
    <col min="7179" max="7179" width="10.44140625" style="211" bestFit="1" customWidth="1"/>
    <col min="7180" max="7424" width="9.109375" style="211"/>
    <col min="7425" max="7425" width="2.44140625" style="211" customWidth="1"/>
    <col min="7426" max="7426" width="24.44140625" style="211" customWidth="1"/>
    <col min="7427" max="7427" width="15.44140625" style="211" customWidth="1"/>
    <col min="7428" max="7428" width="17.88671875" style="211" customWidth="1"/>
    <col min="7429" max="7429" width="14.109375" style="211" customWidth="1"/>
    <col min="7430" max="7430" width="14.44140625" style="211" customWidth="1"/>
    <col min="7431" max="7431" width="10.44140625" style="211" bestFit="1" customWidth="1"/>
    <col min="7432" max="7432" width="10.44140625" style="211" customWidth="1"/>
    <col min="7433" max="7433" width="10.109375" style="211" customWidth="1"/>
    <col min="7434" max="7434" width="10.5546875" style="211" customWidth="1"/>
    <col min="7435" max="7435" width="10.44140625" style="211" bestFit="1" customWidth="1"/>
    <col min="7436" max="7680" width="9.109375" style="211"/>
    <col min="7681" max="7681" width="2.44140625" style="211" customWidth="1"/>
    <col min="7682" max="7682" width="24.44140625" style="211" customWidth="1"/>
    <col min="7683" max="7683" width="15.44140625" style="211" customWidth="1"/>
    <col min="7684" max="7684" width="17.88671875" style="211" customWidth="1"/>
    <col min="7685" max="7685" width="14.109375" style="211" customWidth="1"/>
    <col min="7686" max="7686" width="14.44140625" style="211" customWidth="1"/>
    <col min="7687" max="7687" width="10.44140625" style="211" bestFit="1" customWidth="1"/>
    <col min="7688" max="7688" width="10.44140625" style="211" customWidth="1"/>
    <col min="7689" max="7689" width="10.109375" style="211" customWidth="1"/>
    <col min="7690" max="7690" width="10.5546875" style="211" customWidth="1"/>
    <col min="7691" max="7691" width="10.44140625" style="211" bestFit="1" customWidth="1"/>
    <col min="7692" max="7936" width="9.109375" style="211"/>
    <col min="7937" max="7937" width="2.44140625" style="211" customWidth="1"/>
    <col min="7938" max="7938" width="24.44140625" style="211" customWidth="1"/>
    <col min="7939" max="7939" width="15.44140625" style="211" customWidth="1"/>
    <col min="7940" max="7940" width="17.88671875" style="211" customWidth="1"/>
    <col min="7941" max="7941" width="14.109375" style="211" customWidth="1"/>
    <col min="7942" max="7942" width="14.44140625" style="211" customWidth="1"/>
    <col min="7943" max="7943" width="10.44140625" style="211" bestFit="1" customWidth="1"/>
    <col min="7944" max="7944" width="10.44140625" style="211" customWidth="1"/>
    <col min="7945" max="7945" width="10.109375" style="211" customWidth="1"/>
    <col min="7946" max="7946" width="10.5546875" style="211" customWidth="1"/>
    <col min="7947" max="7947" width="10.44140625" style="211" bestFit="1" customWidth="1"/>
    <col min="7948" max="8192" width="9.109375" style="211"/>
    <col min="8193" max="8193" width="2.44140625" style="211" customWidth="1"/>
    <col min="8194" max="8194" width="24.44140625" style="211" customWidth="1"/>
    <col min="8195" max="8195" width="15.44140625" style="211" customWidth="1"/>
    <col min="8196" max="8196" width="17.88671875" style="211" customWidth="1"/>
    <col min="8197" max="8197" width="14.109375" style="211" customWidth="1"/>
    <col min="8198" max="8198" width="14.44140625" style="211" customWidth="1"/>
    <col min="8199" max="8199" width="10.44140625" style="211" bestFit="1" customWidth="1"/>
    <col min="8200" max="8200" width="10.44140625" style="211" customWidth="1"/>
    <col min="8201" max="8201" width="10.109375" style="211" customWidth="1"/>
    <col min="8202" max="8202" width="10.5546875" style="211" customWidth="1"/>
    <col min="8203" max="8203" width="10.44140625" style="211" bestFit="1" customWidth="1"/>
    <col min="8204" max="8448" width="9.109375" style="211"/>
    <col min="8449" max="8449" width="2.44140625" style="211" customWidth="1"/>
    <col min="8450" max="8450" width="24.44140625" style="211" customWidth="1"/>
    <col min="8451" max="8451" width="15.44140625" style="211" customWidth="1"/>
    <col min="8452" max="8452" width="17.88671875" style="211" customWidth="1"/>
    <col min="8453" max="8453" width="14.109375" style="211" customWidth="1"/>
    <col min="8454" max="8454" width="14.44140625" style="211" customWidth="1"/>
    <col min="8455" max="8455" width="10.44140625" style="211" bestFit="1" customWidth="1"/>
    <col min="8456" max="8456" width="10.44140625" style="211" customWidth="1"/>
    <col min="8457" max="8457" width="10.109375" style="211" customWidth="1"/>
    <col min="8458" max="8458" width="10.5546875" style="211" customWidth="1"/>
    <col min="8459" max="8459" width="10.44140625" style="211" bestFit="1" customWidth="1"/>
    <col min="8460" max="8704" width="9.109375" style="211"/>
    <col min="8705" max="8705" width="2.44140625" style="211" customWidth="1"/>
    <col min="8706" max="8706" width="24.44140625" style="211" customWidth="1"/>
    <col min="8707" max="8707" width="15.44140625" style="211" customWidth="1"/>
    <col min="8708" max="8708" width="17.88671875" style="211" customWidth="1"/>
    <col min="8709" max="8709" width="14.109375" style="211" customWidth="1"/>
    <col min="8710" max="8710" width="14.44140625" style="211" customWidth="1"/>
    <col min="8711" max="8711" width="10.44140625" style="211" bestFit="1" customWidth="1"/>
    <col min="8712" max="8712" width="10.44140625" style="211" customWidth="1"/>
    <col min="8713" max="8713" width="10.109375" style="211" customWidth="1"/>
    <col min="8714" max="8714" width="10.5546875" style="211" customWidth="1"/>
    <col min="8715" max="8715" width="10.44140625" style="211" bestFit="1" customWidth="1"/>
    <col min="8716" max="8960" width="9.109375" style="211"/>
    <col min="8961" max="8961" width="2.44140625" style="211" customWidth="1"/>
    <col min="8962" max="8962" width="24.44140625" style="211" customWidth="1"/>
    <col min="8963" max="8963" width="15.44140625" style="211" customWidth="1"/>
    <col min="8964" max="8964" width="17.88671875" style="211" customWidth="1"/>
    <col min="8965" max="8965" width="14.109375" style="211" customWidth="1"/>
    <col min="8966" max="8966" width="14.44140625" style="211" customWidth="1"/>
    <col min="8967" max="8967" width="10.44140625" style="211" bestFit="1" customWidth="1"/>
    <col min="8968" max="8968" width="10.44140625" style="211" customWidth="1"/>
    <col min="8969" max="8969" width="10.109375" style="211" customWidth="1"/>
    <col min="8970" max="8970" width="10.5546875" style="211" customWidth="1"/>
    <col min="8971" max="8971" width="10.44140625" style="211" bestFit="1" customWidth="1"/>
    <col min="8972" max="9216" width="9.109375" style="211"/>
    <col min="9217" max="9217" width="2.44140625" style="211" customWidth="1"/>
    <col min="9218" max="9218" width="24.44140625" style="211" customWidth="1"/>
    <col min="9219" max="9219" width="15.44140625" style="211" customWidth="1"/>
    <col min="9220" max="9220" width="17.88671875" style="211" customWidth="1"/>
    <col min="9221" max="9221" width="14.109375" style="211" customWidth="1"/>
    <col min="9222" max="9222" width="14.44140625" style="211" customWidth="1"/>
    <col min="9223" max="9223" width="10.44140625" style="211" bestFit="1" customWidth="1"/>
    <col min="9224" max="9224" width="10.44140625" style="211" customWidth="1"/>
    <col min="9225" max="9225" width="10.109375" style="211" customWidth="1"/>
    <col min="9226" max="9226" width="10.5546875" style="211" customWidth="1"/>
    <col min="9227" max="9227" width="10.44140625" style="211" bestFit="1" customWidth="1"/>
    <col min="9228" max="9472" width="9.109375" style="211"/>
    <col min="9473" max="9473" width="2.44140625" style="211" customWidth="1"/>
    <col min="9474" max="9474" width="24.44140625" style="211" customWidth="1"/>
    <col min="9475" max="9475" width="15.44140625" style="211" customWidth="1"/>
    <col min="9476" max="9476" width="17.88671875" style="211" customWidth="1"/>
    <col min="9477" max="9477" width="14.109375" style="211" customWidth="1"/>
    <col min="9478" max="9478" width="14.44140625" style="211" customWidth="1"/>
    <col min="9479" max="9479" width="10.44140625" style="211" bestFit="1" customWidth="1"/>
    <col min="9480" max="9480" width="10.44140625" style="211" customWidth="1"/>
    <col min="9481" max="9481" width="10.109375" style="211" customWidth="1"/>
    <col min="9482" max="9482" width="10.5546875" style="211" customWidth="1"/>
    <col min="9483" max="9483" width="10.44140625" style="211" bestFit="1" customWidth="1"/>
    <col min="9484" max="9728" width="9.109375" style="211"/>
    <col min="9729" max="9729" width="2.44140625" style="211" customWidth="1"/>
    <col min="9730" max="9730" width="24.44140625" style="211" customWidth="1"/>
    <col min="9731" max="9731" width="15.44140625" style="211" customWidth="1"/>
    <col min="9732" max="9732" width="17.88671875" style="211" customWidth="1"/>
    <col min="9733" max="9733" width="14.109375" style="211" customWidth="1"/>
    <col min="9734" max="9734" width="14.44140625" style="211" customWidth="1"/>
    <col min="9735" max="9735" width="10.44140625" style="211" bestFit="1" customWidth="1"/>
    <col min="9736" max="9736" width="10.44140625" style="211" customWidth="1"/>
    <col min="9737" max="9737" width="10.109375" style="211" customWidth="1"/>
    <col min="9738" max="9738" width="10.5546875" style="211" customWidth="1"/>
    <col min="9739" max="9739" width="10.44140625" style="211" bestFit="1" customWidth="1"/>
    <col min="9740" max="9984" width="9.109375" style="211"/>
    <col min="9985" max="9985" width="2.44140625" style="211" customWidth="1"/>
    <col min="9986" max="9986" width="24.44140625" style="211" customWidth="1"/>
    <col min="9987" max="9987" width="15.44140625" style="211" customWidth="1"/>
    <col min="9988" max="9988" width="17.88671875" style="211" customWidth="1"/>
    <col min="9989" max="9989" width="14.109375" style="211" customWidth="1"/>
    <col min="9990" max="9990" width="14.44140625" style="211" customWidth="1"/>
    <col min="9991" max="9991" width="10.44140625" style="211" bestFit="1" customWidth="1"/>
    <col min="9992" max="9992" width="10.44140625" style="211" customWidth="1"/>
    <col min="9993" max="9993" width="10.109375" style="211" customWidth="1"/>
    <col min="9994" max="9994" width="10.5546875" style="211" customWidth="1"/>
    <col min="9995" max="9995" width="10.44140625" style="211" bestFit="1" customWidth="1"/>
    <col min="9996" max="10240" width="9.109375" style="211"/>
    <col min="10241" max="10241" width="2.44140625" style="211" customWidth="1"/>
    <col min="10242" max="10242" width="24.44140625" style="211" customWidth="1"/>
    <col min="10243" max="10243" width="15.44140625" style="211" customWidth="1"/>
    <col min="10244" max="10244" width="17.88671875" style="211" customWidth="1"/>
    <col min="10245" max="10245" width="14.109375" style="211" customWidth="1"/>
    <col min="10246" max="10246" width="14.44140625" style="211" customWidth="1"/>
    <col min="10247" max="10247" width="10.44140625" style="211" bestFit="1" customWidth="1"/>
    <col min="10248" max="10248" width="10.44140625" style="211" customWidth="1"/>
    <col min="10249" max="10249" width="10.109375" style="211" customWidth="1"/>
    <col min="10250" max="10250" width="10.5546875" style="211" customWidth="1"/>
    <col min="10251" max="10251" width="10.44140625" style="211" bestFit="1" customWidth="1"/>
    <col min="10252" max="10496" width="9.109375" style="211"/>
    <col min="10497" max="10497" width="2.44140625" style="211" customWidth="1"/>
    <col min="10498" max="10498" width="24.44140625" style="211" customWidth="1"/>
    <col min="10499" max="10499" width="15.44140625" style="211" customWidth="1"/>
    <col min="10500" max="10500" width="17.88671875" style="211" customWidth="1"/>
    <col min="10501" max="10501" width="14.109375" style="211" customWidth="1"/>
    <col min="10502" max="10502" width="14.44140625" style="211" customWidth="1"/>
    <col min="10503" max="10503" width="10.44140625" style="211" bestFit="1" customWidth="1"/>
    <col min="10504" max="10504" width="10.44140625" style="211" customWidth="1"/>
    <col min="10505" max="10505" width="10.109375" style="211" customWidth="1"/>
    <col min="10506" max="10506" width="10.5546875" style="211" customWidth="1"/>
    <col min="10507" max="10507" width="10.44140625" style="211" bestFit="1" customWidth="1"/>
    <col min="10508" max="10752" width="9.109375" style="211"/>
    <col min="10753" max="10753" width="2.44140625" style="211" customWidth="1"/>
    <col min="10754" max="10754" width="24.44140625" style="211" customWidth="1"/>
    <col min="10755" max="10755" width="15.44140625" style="211" customWidth="1"/>
    <col min="10756" max="10756" width="17.88671875" style="211" customWidth="1"/>
    <col min="10757" max="10757" width="14.109375" style="211" customWidth="1"/>
    <col min="10758" max="10758" width="14.44140625" style="211" customWidth="1"/>
    <col min="10759" max="10759" width="10.44140625" style="211" bestFit="1" customWidth="1"/>
    <col min="10760" max="10760" width="10.44140625" style="211" customWidth="1"/>
    <col min="10761" max="10761" width="10.109375" style="211" customWidth="1"/>
    <col min="10762" max="10762" width="10.5546875" style="211" customWidth="1"/>
    <col min="10763" max="10763" width="10.44140625" style="211" bestFit="1" customWidth="1"/>
    <col min="10764" max="11008" width="9.109375" style="211"/>
    <col min="11009" max="11009" width="2.44140625" style="211" customWidth="1"/>
    <col min="11010" max="11010" width="24.44140625" style="211" customWidth="1"/>
    <col min="11011" max="11011" width="15.44140625" style="211" customWidth="1"/>
    <col min="11012" max="11012" width="17.88671875" style="211" customWidth="1"/>
    <col min="11013" max="11013" width="14.109375" style="211" customWidth="1"/>
    <col min="11014" max="11014" width="14.44140625" style="211" customWidth="1"/>
    <col min="11015" max="11015" width="10.44140625" style="211" bestFit="1" customWidth="1"/>
    <col min="11016" max="11016" width="10.44140625" style="211" customWidth="1"/>
    <col min="11017" max="11017" width="10.109375" style="211" customWidth="1"/>
    <col min="11018" max="11018" width="10.5546875" style="211" customWidth="1"/>
    <col min="11019" max="11019" width="10.44140625" style="211" bestFit="1" customWidth="1"/>
    <col min="11020" max="11264" width="9.109375" style="211"/>
    <col min="11265" max="11265" width="2.44140625" style="211" customWidth="1"/>
    <col min="11266" max="11266" width="24.44140625" style="211" customWidth="1"/>
    <col min="11267" max="11267" width="15.44140625" style="211" customWidth="1"/>
    <col min="11268" max="11268" width="17.88671875" style="211" customWidth="1"/>
    <col min="11269" max="11269" width="14.109375" style="211" customWidth="1"/>
    <col min="11270" max="11270" width="14.44140625" style="211" customWidth="1"/>
    <col min="11271" max="11271" width="10.44140625" style="211" bestFit="1" customWidth="1"/>
    <col min="11272" max="11272" width="10.44140625" style="211" customWidth="1"/>
    <col min="11273" max="11273" width="10.109375" style="211" customWidth="1"/>
    <col min="11274" max="11274" width="10.5546875" style="211" customWidth="1"/>
    <col min="11275" max="11275" width="10.44140625" style="211" bestFit="1" customWidth="1"/>
    <col min="11276" max="11520" width="9.109375" style="211"/>
    <col min="11521" max="11521" width="2.44140625" style="211" customWidth="1"/>
    <col min="11522" max="11522" width="24.44140625" style="211" customWidth="1"/>
    <col min="11523" max="11523" width="15.44140625" style="211" customWidth="1"/>
    <col min="11524" max="11524" width="17.88671875" style="211" customWidth="1"/>
    <col min="11525" max="11525" width="14.109375" style="211" customWidth="1"/>
    <col min="11526" max="11526" width="14.44140625" style="211" customWidth="1"/>
    <col min="11527" max="11527" width="10.44140625" style="211" bestFit="1" customWidth="1"/>
    <col min="11528" max="11528" width="10.44140625" style="211" customWidth="1"/>
    <col min="11529" max="11529" width="10.109375" style="211" customWidth="1"/>
    <col min="11530" max="11530" width="10.5546875" style="211" customWidth="1"/>
    <col min="11531" max="11531" width="10.44140625" style="211" bestFit="1" customWidth="1"/>
    <col min="11532" max="11776" width="9.109375" style="211"/>
    <col min="11777" max="11777" width="2.44140625" style="211" customWidth="1"/>
    <col min="11778" max="11778" width="24.44140625" style="211" customWidth="1"/>
    <col min="11779" max="11779" width="15.44140625" style="211" customWidth="1"/>
    <col min="11780" max="11780" width="17.88671875" style="211" customWidth="1"/>
    <col min="11781" max="11781" width="14.109375" style="211" customWidth="1"/>
    <col min="11782" max="11782" width="14.44140625" style="211" customWidth="1"/>
    <col min="11783" max="11783" width="10.44140625" style="211" bestFit="1" customWidth="1"/>
    <col min="11784" max="11784" width="10.44140625" style="211" customWidth="1"/>
    <col min="11785" max="11785" width="10.109375" style="211" customWidth="1"/>
    <col min="11786" max="11786" width="10.5546875" style="211" customWidth="1"/>
    <col min="11787" max="11787" width="10.44140625" style="211" bestFit="1" customWidth="1"/>
    <col min="11788" max="12032" width="9.109375" style="211"/>
    <col min="12033" max="12033" width="2.44140625" style="211" customWidth="1"/>
    <col min="12034" max="12034" width="24.44140625" style="211" customWidth="1"/>
    <col min="12035" max="12035" width="15.44140625" style="211" customWidth="1"/>
    <col min="12036" max="12036" width="17.88671875" style="211" customWidth="1"/>
    <col min="12037" max="12037" width="14.109375" style="211" customWidth="1"/>
    <col min="12038" max="12038" width="14.44140625" style="211" customWidth="1"/>
    <col min="12039" max="12039" width="10.44140625" style="211" bestFit="1" customWidth="1"/>
    <col min="12040" max="12040" width="10.44140625" style="211" customWidth="1"/>
    <col min="12041" max="12041" width="10.109375" style="211" customWidth="1"/>
    <col min="12042" max="12042" width="10.5546875" style="211" customWidth="1"/>
    <col min="12043" max="12043" width="10.44140625" style="211" bestFit="1" customWidth="1"/>
    <col min="12044" max="12288" width="9.109375" style="211"/>
    <col min="12289" max="12289" width="2.44140625" style="211" customWidth="1"/>
    <col min="12290" max="12290" width="24.44140625" style="211" customWidth="1"/>
    <col min="12291" max="12291" width="15.44140625" style="211" customWidth="1"/>
    <col min="12292" max="12292" width="17.88671875" style="211" customWidth="1"/>
    <col min="12293" max="12293" width="14.109375" style="211" customWidth="1"/>
    <col min="12294" max="12294" width="14.44140625" style="211" customWidth="1"/>
    <col min="12295" max="12295" width="10.44140625" style="211" bestFit="1" customWidth="1"/>
    <col min="12296" max="12296" width="10.44140625" style="211" customWidth="1"/>
    <col min="12297" max="12297" width="10.109375" style="211" customWidth="1"/>
    <col min="12298" max="12298" width="10.5546875" style="211" customWidth="1"/>
    <col min="12299" max="12299" width="10.44140625" style="211" bestFit="1" customWidth="1"/>
    <col min="12300" max="12544" width="9.109375" style="211"/>
    <col min="12545" max="12545" width="2.44140625" style="211" customWidth="1"/>
    <col min="12546" max="12546" width="24.44140625" style="211" customWidth="1"/>
    <col min="12547" max="12547" width="15.44140625" style="211" customWidth="1"/>
    <col min="12548" max="12548" width="17.88671875" style="211" customWidth="1"/>
    <col min="12549" max="12549" width="14.109375" style="211" customWidth="1"/>
    <col min="12550" max="12550" width="14.44140625" style="211" customWidth="1"/>
    <col min="12551" max="12551" width="10.44140625" style="211" bestFit="1" customWidth="1"/>
    <col min="12552" max="12552" width="10.44140625" style="211" customWidth="1"/>
    <col min="12553" max="12553" width="10.109375" style="211" customWidth="1"/>
    <col min="12554" max="12554" width="10.5546875" style="211" customWidth="1"/>
    <col min="12555" max="12555" width="10.44140625" style="211" bestFit="1" customWidth="1"/>
    <col min="12556" max="12800" width="9.109375" style="211"/>
    <col min="12801" max="12801" width="2.44140625" style="211" customWidth="1"/>
    <col min="12802" max="12802" width="24.44140625" style="211" customWidth="1"/>
    <col min="12803" max="12803" width="15.44140625" style="211" customWidth="1"/>
    <col min="12804" max="12804" width="17.88671875" style="211" customWidth="1"/>
    <col min="12805" max="12805" width="14.109375" style="211" customWidth="1"/>
    <col min="12806" max="12806" width="14.44140625" style="211" customWidth="1"/>
    <col min="12807" max="12807" width="10.44140625" style="211" bestFit="1" customWidth="1"/>
    <col min="12808" max="12808" width="10.44140625" style="211" customWidth="1"/>
    <col min="12809" max="12809" width="10.109375" style="211" customWidth="1"/>
    <col min="12810" max="12810" width="10.5546875" style="211" customWidth="1"/>
    <col min="12811" max="12811" width="10.44140625" style="211" bestFit="1" customWidth="1"/>
    <col min="12812" max="13056" width="9.109375" style="211"/>
    <col min="13057" max="13057" width="2.44140625" style="211" customWidth="1"/>
    <col min="13058" max="13058" width="24.44140625" style="211" customWidth="1"/>
    <col min="13059" max="13059" width="15.44140625" style="211" customWidth="1"/>
    <col min="13060" max="13060" width="17.88671875" style="211" customWidth="1"/>
    <col min="13061" max="13061" width="14.109375" style="211" customWidth="1"/>
    <col min="13062" max="13062" width="14.44140625" style="211" customWidth="1"/>
    <col min="13063" max="13063" width="10.44140625" style="211" bestFit="1" customWidth="1"/>
    <col min="13064" max="13064" width="10.44140625" style="211" customWidth="1"/>
    <col min="13065" max="13065" width="10.109375" style="211" customWidth="1"/>
    <col min="13066" max="13066" width="10.5546875" style="211" customWidth="1"/>
    <col min="13067" max="13067" width="10.44140625" style="211" bestFit="1" customWidth="1"/>
    <col min="13068" max="13312" width="9.109375" style="211"/>
    <col min="13313" max="13313" width="2.44140625" style="211" customWidth="1"/>
    <col min="13314" max="13314" width="24.44140625" style="211" customWidth="1"/>
    <col min="13315" max="13315" width="15.44140625" style="211" customWidth="1"/>
    <col min="13316" max="13316" width="17.88671875" style="211" customWidth="1"/>
    <col min="13317" max="13317" width="14.109375" style="211" customWidth="1"/>
    <col min="13318" max="13318" width="14.44140625" style="211" customWidth="1"/>
    <col min="13319" max="13319" width="10.44140625" style="211" bestFit="1" customWidth="1"/>
    <col min="13320" max="13320" width="10.44140625" style="211" customWidth="1"/>
    <col min="13321" max="13321" width="10.109375" style="211" customWidth="1"/>
    <col min="13322" max="13322" width="10.5546875" style="211" customWidth="1"/>
    <col min="13323" max="13323" width="10.44140625" style="211" bestFit="1" customWidth="1"/>
    <col min="13324" max="13568" width="9.109375" style="211"/>
    <col min="13569" max="13569" width="2.44140625" style="211" customWidth="1"/>
    <col min="13570" max="13570" width="24.44140625" style="211" customWidth="1"/>
    <col min="13571" max="13571" width="15.44140625" style="211" customWidth="1"/>
    <col min="13572" max="13572" width="17.88671875" style="211" customWidth="1"/>
    <col min="13573" max="13573" width="14.109375" style="211" customWidth="1"/>
    <col min="13574" max="13574" width="14.44140625" style="211" customWidth="1"/>
    <col min="13575" max="13575" width="10.44140625" style="211" bestFit="1" customWidth="1"/>
    <col min="13576" max="13576" width="10.44140625" style="211" customWidth="1"/>
    <col min="13577" max="13577" width="10.109375" style="211" customWidth="1"/>
    <col min="13578" max="13578" width="10.5546875" style="211" customWidth="1"/>
    <col min="13579" max="13579" width="10.44140625" style="211" bestFit="1" customWidth="1"/>
    <col min="13580" max="13824" width="9.109375" style="211"/>
    <col min="13825" max="13825" width="2.44140625" style="211" customWidth="1"/>
    <col min="13826" max="13826" width="24.44140625" style="211" customWidth="1"/>
    <col min="13827" max="13827" width="15.44140625" style="211" customWidth="1"/>
    <col min="13828" max="13828" width="17.88671875" style="211" customWidth="1"/>
    <col min="13829" max="13829" width="14.109375" style="211" customWidth="1"/>
    <col min="13830" max="13830" width="14.44140625" style="211" customWidth="1"/>
    <col min="13831" max="13831" width="10.44140625" style="211" bestFit="1" customWidth="1"/>
    <col min="13832" max="13832" width="10.44140625" style="211" customWidth="1"/>
    <col min="13833" max="13833" width="10.109375" style="211" customWidth="1"/>
    <col min="13834" max="13834" width="10.5546875" style="211" customWidth="1"/>
    <col min="13835" max="13835" width="10.44140625" style="211" bestFit="1" customWidth="1"/>
    <col min="13836" max="14080" width="9.109375" style="211"/>
    <col min="14081" max="14081" width="2.44140625" style="211" customWidth="1"/>
    <col min="14082" max="14082" width="24.44140625" style="211" customWidth="1"/>
    <col min="14083" max="14083" width="15.44140625" style="211" customWidth="1"/>
    <col min="14084" max="14084" width="17.88671875" style="211" customWidth="1"/>
    <col min="14085" max="14085" width="14.109375" style="211" customWidth="1"/>
    <col min="14086" max="14086" width="14.44140625" style="211" customWidth="1"/>
    <col min="14087" max="14087" width="10.44140625" style="211" bestFit="1" customWidth="1"/>
    <col min="14088" max="14088" width="10.44140625" style="211" customWidth="1"/>
    <col min="14089" max="14089" width="10.109375" style="211" customWidth="1"/>
    <col min="14090" max="14090" width="10.5546875" style="211" customWidth="1"/>
    <col min="14091" max="14091" width="10.44140625" style="211" bestFit="1" customWidth="1"/>
    <col min="14092" max="14336" width="9.109375" style="211"/>
    <col min="14337" max="14337" width="2.44140625" style="211" customWidth="1"/>
    <col min="14338" max="14338" width="24.44140625" style="211" customWidth="1"/>
    <col min="14339" max="14339" width="15.44140625" style="211" customWidth="1"/>
    <col min="14340" max="14340" width="17.88671875" style="211" customWidth="1"/>
    <col min="14341" max="14341" width="14.109375" style="211" customWidth="1"/>
    <col min="14342" max="14342" width="14.44140625" style="211" customWidth="1"/>
    <col min="14343" max="14343" width="10.44140625" style="211" bestFit="1" customWidth="1"/>
    <col min="14344" max="14344" width="10.44140625" style="211" customWidth="1"/>
    <col min="14345" max="14345" width="10.109375" style="211" customWidth="1"/>
    <col min="14346" max="14346" width="10.5546875" style="211" customWidth="1"/>
    <col min="14347" max="14347" width="10.44140625" style="211" bestFit="1" customWidth="1"/>
    <col min="14348" max="14592" width="9.109375" style="211"/>
    <col min="14593" max="14593" width="2.44140625" style="211" customWidth="1"/>
    <col min="14594" max="14594" width="24.44140625" style="211" customWidth="1"/>
    <col min="14595" max="14595" width="15.44140625" style="211" customWidth="1"/>
    <col min="14596" max="14596" width="17.88671875" style="211" customWidth="1"/>
    <col min="14597" max="14597" width="14.109375" style="211" customWidth="1"/>
    <col min="14598" max="14598" width="14.44140625" style="211" customWidth="1"/>
    <col min="14599" max="14599" width="10.44140625" style="211" bestFit="1" customWidth="1"/>
    <col min="14600" max="14600" width="10.44140625" style="211" customWidth="1"/>
    <col min="14601" max="14601" width="10.109375" style="211" customWidth="1"/>
    <col min="14602" max="14602" width="10.5546875" style="211" customWidth="1"/>
    <col min="14603" max="14603" width="10.44140625" style="211" bestFit="1" customWidth="1"/>
    <col min="14604" max="14848" width="9.109375" style="211"/>
    <col min="14849" max="14849" width="2.44140625" style="211" customWidth="1"/>
    <col min="14850" max="14850" width="24.44140625" style="211" customWidth="1"/>
    <col min="14851" max="14851" width="15.44140625" style="211" customWidth="1"/>
    <col min="14852" max="14852" width="17.88671875" style="211" customWidth="1"/>
    <col min="14853" max="14853" width="14.109375" style="211" customWidth="1"/>
    <col min="14854" max="14854" width="14.44140625" style="211" customWidth="1"/>
    <col min="14855" max="14855" width="10.44140625" style="211" bestFit="1" customWidth="1"/>
    <col min="14856" max="14856" width="10.44140625" style="211" customWidth="1"/>
    <col min="14857" max="14857" width="10.109375" style="211" customWidth="1"/>
    <col min="14858" max="14858" width="10.5546875" style="211" customWidth="1"/>
    <col min="14859" max="14859" width="10.44140625" style="211" bestFit="1" customWidth="1"/>
    <col min="14860" max="15104" width="9.109375" style="211"/>
    <col min="15105" max="15105" width="2.44140625" style="211" customWidth="1"/>
    <col min="15106" max="15106" width="24.44140625" style="211" customWidth="1"/>
    <col min="15107" max="15107" width="15.44140625" style="211" customWidth="1"/>
    <col min="15108" max="15108" width="17.88671875" style="211" customWidth="1"/>
    <col min="15109" max="15109" width="14.109375" style="211" customWidth="1"/>
    <col min="15110" max="15110" width="14.44140625" style="211" customWidth="1"/>
    <col min="15111" max="15111" width="10.44140625" style="211" bestFit="1" customWidth="1"/>
    <col min="15112" max="15112" width="10.44140625" style="211" customWidth="1"/>
    <col min="15113" max="15113" width="10.109375" style="211" customWidth="1"/>
    <col min="15114" max="15114" width="10.5546875" style="211" customWidth="1"/>
    <col min="15115" max="15115" width="10.44140625" style="211" bestFit="1" customWidth="1"/>
    <col min="15116" max="15360" width="9.109375" style="211"/>
    <col min="15361" max="15361" width="2.44140625" style="211" customWidth="1"/>
    <col min="15362" max="15362" width="24.44140625" style="211" customWidth="1"/>
    <col min="15363" max="15363" width="15.44140625" style="211" customWidth="1"/>
    <col min="15364" max="15364" width="17.88671875" style="211" customWidth="1"/>
    <col min="15365" max="15365" width="14.109375" style="211" customWidth="1"/>
    <col min="15366" max="15366" width="14.44140625" style="211" customWidth="1"/>
    <col min="15367" max="15367" width="10.44140625" style="211" bestFit="1" customWidth="1"/>
    <col min="15368" max="15368" width="10.44140625" style="211" customWidth="1"/>
    <col min="15369" max="15369" width="10.109375" style="211" customWidth="1"/>
    <col min="15370" max="15370" width="10.5546875" style="211" customWidth="1"/>
    <col min="15371" max="15371" width="10.44140625" style="211" bestFit="1" customWidth="1"/>
    <col min="15372" max="15616" width="9.109375" style="211"/>
    <col min="15617" max="15617" width="2.44140625" style="211" customWidth="1"/>
    <col min="15618" max="15618" width="24.44140625" style="211" customWidth="1"/>
    <col min="15619" max="15619" width="15.44140625" style="211" customWidth="1"/>
    <col min="15620" max="15620" width="17.88671875" style="211" customWidth="1"/>
    <col min="15621" max="15621" width="14.109375" style="211" customWidth="1"/>
    <col min="15622" max="15622" width="14.44140625" style="211" customWidth="1"/>
    <col min="15623" max="15623" width="10.44140625" style="211" bestFit="1" customWidth="1"/>
    <col min="15624" max="15624" width="10.44140625" style="211" customWidth="1"/>
    <col min="15625" max="15625" width="10.109375" style="211" customWidth="1"/>
    <col min="15626" max="15626" width="10.5546875" style="211" customWidth="1"/>
    <col min="15627" max="15627" width="10.44140625" style="211" bestFit="1" customWidth="1"/>
    <col min="15628" max="15872" width="9.109375" style="211"/>
    <col min="15873" max="15873" width="2.44140625" style="211" customWidth="1"/>
    <col min="15874" max="15874" width="24.44140625" style="211" customWidth="1"/>
    <col min="15875" max="15875" width="15.44140625" style="211" customWidth="1"/>
    <col min="15876" max="15876" width="17.88671875" style="211" customWidth="1"/>
    <col min="15877" max="15877" width="14.109375" style="211" customWidth="1"/>
    <col min="15878" max="15878" width="14.44140625" style="211" customWidth="1"/>
    <col min="15879" max="15879" width="10.44140625" style="211" bestFit="1" customWidth="1"/>
    <col min="15880" max="15880" width="10.44140625" style="211" customWidth="1"/>
    <col min="15881" max="15881" width="10.109375" style="211" customWidth="1"/>
    <col min="15882" max="15882" width="10.5546875" style="211" customWidth="1"/>
    <col min="15883" max="15883" width="10.44140625" style="211" bestFit="1" customWidth="1"/>
    <col min="15884" max="16128" width="9.109375" style="211"/>
    <col min="16129" max="16129" width="2.44140625" style="211" customWidth="1"/>
    <col min="16130" max="16130" width="24.44140625" style="211" customWidth="1"/>
    <col min="16131" max="16131" width="15.44140625" style="211" customWidth="1"/>
    <col min="16132" max="16132" width="17.88671875" style="211" customWidth="1"/>
    <col min="16133" max="16133" width="14.109375" style="211" customWidth="1"/>
    <col min="16134" max="16134" width="14.44140625" style="211" customWidth="1"/>
    <col min="16135" max="16135" width="10.44140625" style="211" bestFit="1" customWidth="1"/>
    <col min="16136" max="16136" width="10.44140625" style="211" customWidth="1"/>
    <col min="16137" max="16137" width="10.109375" style="211" customWidth="1"/>
    <col min="16138" max="16138" width="10.5546875" style="211" customWidth="1"/>
    <col min="16139" max="16139" width="10.44140625" style="211" bestFit="1" customWidth="1"/>
    <col min="16140" max="16384" width="9.109375" style="211"/>
  </cols>
  <sheetData>
    <row r="1" spans="1:12" ht="12.75" customHeight="1" x14ac:dyDescent="0.25">
      <c r="A1" s="595" t="s">
        <v>961</v>
      </c>
      <c r="B1" s="595"/>
      <c r="C1" s="595"/>
      <c r="D1" s="595"/>
      <c r="E1" s="595"/>
      <c r="F1" s="595"/>
      <c r="G1" s="595"/>
      <c r="H1" s="595"/>
      <c r="I1" s="595"/>
      <c r="J1" s="595"/>
      <c r="K1" s="595"/>
    </row>
    <row r="2" spans="1:12" ht="13.8" x14ac:dyDescent="0.25">
      <c r="K2" s="9"/>
    </row>
    <row r="3" spans="1:12" x14ac:dyDescent="0.25">
      <c r="B3" s="596" t="s">
        <v>962</v>
      </c>
      <c r="C3" s="596"/>
      <c r="D3" s="596"/>
      <c r="E3" s="596"/>
      <c r="F3" s="596"/>
      <c r="G3" s="596"/>
      <c r="H3" s="596"/>
      <c r="I3" s="596"/>
      <c r="J3" s="213"/>
    </row>
    <row r="4" spans="1:12" x14ac:dyDescent="0.25">
      <c r="B4" s="214"/>
      <c r="C4" s="215"/>
      <c r="D4" s="215"/>
      <c r="E4" s="215"/>
      <c r="F4" s="215"/>
      <c r="K4" s="216" t="s">
        <v>24</v>
      </c>
    </row>
    <row r="5" spans="1:12" s="212" customFormat="1" ht="39.6" x14ac:dyDescent="0.25">
      <c r="A5" s="217"/>
      <c r="B5" s="218" t="s">
        <v>210</v>
      </c>
      <c r="C5" s="218" t="s">
        <v>230</v>
      </c>
      <c r="D5" s="218" t="s">
        <v>231</v>
      </c>
      <c r="E5" s="218" t="s">
        <v>232</v>
      </c>
      <c r="F5" s="218" t="s">
        <v>233</v>
      </c>
      <c r="G5" s="219" t="s">
        <v>235</v>
      </c>
      <c r="H5" s="219" t="s">
        <v>236</v>
      </c>
      <c r="I5" s="218" t="s">
        <v>237</v>
      </c>
      <c r="J5" s="218" t="s">
        <v>234</v>
      </c>
      <c r="K5" s="218" t="s">
        <v>238</v>
      </c>
    </row>
    <row r="6" spans="1:12" x14ac:dyDescent="0.25">
      <c r="A6" s="220" t="s">
        <v>221</v>
      </c>
      <c r="B6" s="221"/>
      <c r="C6" s="222"/>
      <c r="D6" s="223"/>
      <c r="E6" s="224"/>
      <c r="F6" s="224"/>
      <c r="G6" s="225"/>
      <c r="H6" s="225"/>
      <c r="I6" s="226"/>
      <c r="J6" s="226"/>
      <c r="K6" s="220"/>
      <c r="L6" s="227"/>
    </row>
    <row r="7" spans="1:12" x14ac:dyDescent="0.25">
      <c r="A7" s="220" t="s">
        <v>222</v>
      </c>
      <c r="B7" s="221"/>
      <c r="C7" s="222"/>
      <c r="D7" s="223"/>
      <c r="E7" s="224"/>
      <c r="F7" s="224"/>
      <c r="G7" s="225"/>
      <c r="H7" s="225"/>
      <c r="I7" s="226"/>
      <c r="J7" s="226"/>
      <c r="K7" s="220"/>
      <c r="L7" s="227"/>
    </row>
    <row r="8" spans="1:12" x14ac:dyDescent="0.25">
      <c r="A8" s="220" t="s">
        <v>223</v>
      </c>
      <c r="B8" s="221"/>
      <c r="C8" s="222"/>
      <c r="D8" s="223"/>
      <c r="E8" s="224"/>
      <c r="F8" s="224"/>
      <c r="G8" s="228"/>
      <c r="H8" s="228"/>
      <c r="I8" s="229"/>
      <c r="J8" s="229"/>
      <c r="K8" s="229"/>
      <c r="L8" s="227"/>
    </row>
    <row r="9" spans="1:12" x14ac:dyDescent="0.25">
      <c r="L9" s="227"/>
    </row>
    <row r="10" spans="1:12" x14ac:dyDescent="0.25">
      <c r="D10" s="227"/>
      <c r="E10" s="227"/>
      <c r="F10" s="227"/>
      <c r="G10" s="230"/>
      <c r="H10" s="230"/>
    </row>
  </sheetData>
  <mergeCells count="2">
    <mergeCell ref="A1:K1"/>
    <mergeCell ref="B3:I3"/>
  </mergeCells>
  <printOptions horizontalCentered="1"/>
  <pageMargins left="0.19685039370078741" right="0.19685039370078741"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5AE1C-E810-4B99-9A38-DEE1DC2D582C}">
  <sheetPr>
    <pageSetUpPr fitToPage="1"/>
  </sheetPr>
  <dimension ref="A1:O181"/>
  <sheetViews>
    <sheetView zoomScale="85" zoomScaleNormal="85" workbookViewId="0">
      <selection activeCell="A3" sqref="A3:E3"/>
    </sheetView>
  </sheetViews>
  <sheetFormatPr defaultRowHeight="13.2" x14ac:dyDescent="0.25"/>
  <cols>
    <col min="1" max="1" width="61.33203125" style="8" customWidth="1"/>
    <col min="2" max="2" width="72.109375" style="8" customWidth="1"/>
    <col min="3" max="3" width="54" style="8" bestFit="1" customWidth="1"/>
    <col min="4" max="4" width="21.6640625" style="8" customWidth="1"/>
    <col min="5" max="5" width="16.109375" style="8" customWidth="1"/>
    <col min="6" max="6" width="7.44140625" style="8" bestFit="1" customWidth="1"/>
    <col min="7" max="7" width="3.88671875" style="8" bestFit="1" customWidth="1"/>
    <col min="8" max="8" width="14.33203125" style="8" customWidth="1"/>
    <col min="9" max="9" width="22.44140625" style="8" customWidth="1"/>
    <col min="10" max="10" width="22.5546875" style="8" customWidth="1"/>
    <col min="11" max="13" width="9.33203125" style="8" bestFit="1" customWidth="1"/>
    <col min="14" max="14" width="10.6640625" style="8" bestFit="1" customWidth="1"/>
    <col min="15" max="256" width="9.109375" style="8"/>
    <col min="257" max="257" width="52.5546875" style="8" customWidth="1"/>
    <col min="258" max="258" width="60" style="8" bestFit="1" customWidth="1"/>
    <col min="259" max="259" width="24.88671875" style="8" bestFit="1" customWidth="1"/>
    <col min="260" max="260" width="20.109375" style="8" customWidth="1"/>
    <col min="261" max="261" width="16.109375" style="8" customWidth="1"/>
    <col min="262" max="262" width="18" style="8" customWidth="1"/>
    <col min="263" max="263" width="16.5546875" style="8" customWidth="1"/>
    <col min="264" max="264" width="14.33203125" style="8" customWidth="1"/>
    <col min="265" max="265" width="22.44140625" style="8" customWidth="1"/>
    <col min="266" max="266" width="22.5546875" style="8" customWidth="1"/>
    <col min="267" max="269" width="9.33203125" style="8" bestFit="1" customWidth="1"/>
    <col min="270" max="270" width="10.6640625" style="8" bestFit="1" customWidth="1"/>
    <col min="271" max="512" width="9.109375" style="8"/>
    <col min="513" max="513" width="52.5546875" style="8" customWidth="1"/>
    <col min="514" max="514" width="60" style="8" bestFit="1" customWidth="1"/>
    <col min="515" max="515" width="24.88671875" style="8" bestFit="1" customWidth="1"/>
    <col min="516" max="516" width="20.109375" style="8" customWidth="1"/>
    <col min="517" max="517" width="16.109375" style="8" customWidth="1"/>
    <col min="518" max="518" width="18" style="8" customWidth="1"/>
    <col min="519" max="519" width="16.5546875" style="8" customWidth="1"/>
    <col min="520" max="520" width="14.33203125" style="8" customWidth="1"/>
    <col min="521" max="521" width="22.44140625" style="8" customWidth="1"/>
    <col min="522" max="522" width="22.5546875" style="8" customWidth="1"/>
    <col min="523" max="525" width="9.33203125" style="8" bestFit="1" customWidth="1"/>
    <col min="526" max="526" width="10.6640625" style="8" bestFit="1" customWidth="1"/>
    <col min="527" max="768" width="9.109375" style="8"/>
    <col min="769" max="769" width="52.5546875" style="8" customWidth="1"/>
    <col min="770" max="770" width="60" style="8" bestFit="1" customWidth="1"/>
    <col min="771" max="771" width="24.88671875" style="8" bestFit="1" customWidth="1"/>
    <col min="772" max="772" width="20.109375" style="8" customWidth="1"/>
    <col min="773" max="773" width="16.109375" style="8" customWidth="1"/>
    <col min="774" max="774" width="18" style="8" customWidth="1"/>
    <col min="775" max="775" width="16.5546875" style="8" customWidth="1"/>
    <col min="776" max="776" width="14.33203125" style="8" customWidth="1"/>
    <col min="777" max="777" width="22.44140625" style="8" customWidth="1"/>
    <col min="778" max="778" width="22.5546875" style="8" customWidth="1"/>
    <col min="779" max="781" width="9.33203125" style="8" bestFit="1" customWidth="1"/>
    <col min="782" max="782" width="10.6640625" style="8" bestFit="1" customWidth="1"/>
    <col min="783" max="1024" width="9.109375" style="8"/>
    <col min="1025" max="1025" width="52.5546875" style="8" customWidth="1"/>
    <col min="1026" max="1026" width="60" style="8" bestFit="1" customWidth="1"/>
    <col min="1027" max="1027" width="24.88671875" style="8" bestFit="1" customWidth="1"/>
    <col min="1028" max="1028" width="20.109375" style="8" customWidth="1"/>
    <col min="1029" max="1029" width="16.109375" style="8" customWidth="1"/>
    <col min="1030" max="1030" width="18" style="8" customWidth="1"/>
    <col min="1031" max="1031" width="16.5546875" style="8" customWidth="1"/>
    <col min="1032" max="1032" width="14.33203125" style="8" customWidth="1"/>
    <col min="1033" max="1033" width="22.44140625" style="8" customWidth="1"/>
    <col min="1034" max="1034" width="22.5546875" style="8" customWidth="1"/>
    <col min="1035" max="1037" width="9.33203125" style="8" bestFit="1" customWidth="1"/>
    <col min="1038" max="1038" width="10.6640625" style="8" bestFit="1" customWidth="1"/>
    <col min="1039" max="1280" width="9.109375" style="8"/>
    <col min="1281" max="1281" width="52.5546875" style="8" customWidth="1"/>
    <col min="1282" max="1282" width="60" style="8" bestFit="1" customWidth="1"/>
    <col min="1283" max="1283" width="24.88671875" style="8" bestFit="1" customWidth="1"/>
    <col min="1284" max="1284" width="20.109375" style="8" customWidth="1"/>
    <col min="1285" max="1285" width="16.109375" style="8" customWidth="1"/>
    <col min="1286" max="1286" width="18" style="8" customWidth="1"/>
    <col min="1287" max="1287" width="16.5546875" style="8" customWidth="1"/>
    <col min="1288" max="1288" width="14.33203125" style="8" customWidth="1"/>
    <col min="1289" max="1289" width="22.44140625" style="8" customWidth="1"/>
    <col min="1290" max="1290" width="22.5546875" style="8" customWidth="1"/>
    <col min="1291" max="1293" width="9.33203125" style="8" bestFit="1" customWidth="1"/>
    <col min="1294" max="1294" width="10.6640625" style="8" bestFit="1" customWidth="1"/>
    <col min="1295" max="1536" width="9.109375" style="8"/>
    <col min="1537" max="1537" width="52.5546875" style="8" customWidth="1"/>
    <col min="1538" max="1538" width="60" style="8" bestFit="1" customWidth="1"/>
    <col min="1539" max="1539" width="24.88671875" style="8" bestFit="1" customWidth="1"/>
    <col min="1540" max="1540" width="20.109375" style="8" customWidth="1"/>
    <col min="1541" max="1541" width="16.109375" style="8" customWidth="1"/>
    <col min="1542" max="1542" width="18" style="8" customWidth="1"/>
    <col min="1543" max="1543" width="16.5546875" style="8" customWidth="1"/>
    <col min="1544" max="1544" width="14.33203125" style="8" customWidth="1"/>
    <col min="1545" max="1545" width="22.44140625" style="8" customWidth="1"/>
    <col min="1546" max="1546" width="22.5546875" style="8" customWidth="1"/>
    <col min="1547" max="1549" width="9.33203125" style="8" bestFit="1" customWidth="1"/>
    <col min="1550" max="1550" width="10.6640625" style="8" bestFit="1" customWidth="1"/>
    <col min="1551" max="1792" width="9.109375" style="8"/>
    <col min="1793" max="1793" width="52.5546875" style="8" customWidth="1"/>
    <col min="1794" max="1794" width="60" style="8" bestFit="1" customWidth="1"/>
    <col min="1795" max="1795" width="24.88671875" style="8" bestFit="1" customWidth="1"/>
    <col min="1796" max="1796" width="20.109375" style="8" customWidth="1"/>
    <col min="1797" max="1797" width="16.109375" style="8" customWidth="1"/>
    <col min="1798" max="1798" width="18" style="8" customWidth="1"/>
    <col min="1799" max="1799" width="16.5546875" style="8" customWidth="1"/>
    <col min="1800" max="1800" width="14.33203125" style="8" customWidth="1"/>
    <col min="1801" max="1801" width="22.44140625" style="8" customWidth="1"/>
    <col min="1802" max="1802" width="22.5546875" style="8" customWidth="1"/>
    <col min="1803" max="1805" width="9.33203125" style="8" bestFit="1" customWidth="1"/>
    <col min="1806" max="1806" width="10.6640625" style="8" bestFit="1" customWidth="1"/>
    <col min="1807" max="2048" width="9.109375" style="8"/>
    <col min="2049" max="2049" width="52.5546875" style="8" customWidth="1"/>
    <col min="2050" max="2050" width="60" style="8" bestFit="1" customWidth="1"/>
    <col min="2051" max="2051" width="24.88671875" style="8" bestFit="1" customWidth="1"/>
    <col min="2052" max="2052" width="20.109375" style="8" customWidth="1"/>
    <col min="2053" max="2053" width="16.109375" style="8" customWidth="1"/>
    <col min="2054" max="2054" width="18" style="8" customWidth="1"/>
    <col min="2055" max="2055" width="16.5546875" style="8" customWidth="1"/>
    <col min="2056" max="2056" width="14.33203125" style="8" customWidth="1"/>
    <col min="2057" max="2057" width="22.44140625" style="8" customWidth="1"/>
    <col min="2058" max="2058" width="22.5546875" style="8" customWidth="1"/>
    <col min="2059" max="2061" width="9.33203125" style="8" bestFit="1" customWidth="1"/>
    <col min="2062" max="2062" width="10.6640625" style="8" bestFit="1" customWidth="1"/>
    <col min="2063" max="2304" width="9.109375" style="8"/>
    <col min="2305" max="2305" width="52.5546875" style="8" customWidth="1"/>
    <col min="2306" max="2306" width="60" style="8" bestFit="1" customWidth="1"/>
    <col min="2307" max="2307" width="24.88671875" style="8" bestFit="1" customWidth="1"/>
    <col min="2308" max="2308" width="20.109375" style="8" customWidth="1"/>
    <col min="2309" max="2309" width="16.109375" style="8" customWidth="1"/>
    <col min="2310" max="2310" width="18" style="8" customWidth="1"/>
    <col min="2311" max="2311" width="16.5546875" style="8" customWidth="1"/>
    <col min="2312" max="2312" width="14.33203125" style="8" customWidth="1"/>
    <col min="2313" max="2313" width="22.44140625" style="8" customWidth="1"/>
    <col min="2314" max="2314" width="22.5546875" style="8" customWidth="1"/>
    <col min="2315" max="2317" width="9.33203125" style="8" bestFit="1" customWidth="1"/>
    <col min="2318" max="2318" width="10.6640625" style="8" bestFit="1" customWidth="1"/>
    <col min="2319" max="2560" width="9.109375" style="8"/>
    <col min="2561" max="2561" width="52.5546875" style="8" customWidth="1"/>
    <col min="2562" max="2562" width="60" style="8" bestFit="1" customWidth="1"/>
    <col min="2563" max="2563" width="24.88671875" style="8" bestFit="1" customWidth="1"/>
    <col min="2564" max="2564" width="20.109375" style="8" customWidth="1"/>
    <col min="2565" max="2565" width="16.109375" style="8" customWidth="1"/>
    <col min="2566" max="2566" width="18" style="8" customWidth="1"/>
    <col min="2567" max="2567" width="16.5546875" style="8" customWidth="1"/>
    <col min="2568" max="2568" width="14.33203125" style="8" customWidth="1"/>
    <col min="2569" max="2569" width="22.44140625" style="8" customWidth="1"/>
    <col min="2570" max="2570" width="22.5546875" style="8" customWidth="1"/>
    <col min="2571" max="2573" width="9.33203125" style="8" bestFit="1" customWidth="1"/>
    <col min="2574" max="2574" width="10.6640625" style="8" bestFit="1" customWidth="1"/>
    <col min="2575" max="2816" width="9.109375" style="8"/>
    <col min="2817" max="2817" width="52.5546875" style="8" customWidth="1"/>
    <col min="2818" max="2818" width="60" style="8" bestFit="1" customWidth="1"/>
    <col min="2819" max="2819" width="24.88671875" style="8" bestFit="1" customWidth="1"/>
    <col min="2820" max="2820" width="20.109375" style="8" customWidth="1"/>
    <col min="2821" max="2821" width="16.109375" style="8" customWidth="1"/>
    <col min="2822" max="2822" width="18" style="8" customWidth="1"/>
    <col min="2823" max="2823" width="16.5546875" style="8" customWidth="1"/>
    <col min="2824" max="2824" width="14.33203125" style="8" customWidth="1"/>
    <col min="2825" max="2825" width="22.44140625" style="8" customWidth="1"/>
    <col min="2826" max="2826" width="22.5546875" style="8" customWidth="1"/>
    <col min="2827" max="2829" width="9.33203125" style="8" bestFit="1" customWidth="1"/>
    <col min="2830" max="2830" width="10.6640625" style="8" bestFit="1" customWidth="1"/>
    <col min="2831" max="3072" width="9.109375" style="8"/>
    <col min="3073" max="3073" width="52.5546875" style="8" customWidth="1"/>
    <col min="3074" max="3074" width="60" style="8" bestFit="1" customWidth="1"/>
    <col min="3075" max="3075" width="24.88671875" style="8" bestFit="1" customWidth="1"/>
    <col min="3076" max="3076" width="20.109375" style="8" customWidth="1"/>
    <col min="3077" max="3077" width="16.109375" style="8" customWidth="1"/>
    <col min="3078" max="3078" width="18" style="8" customWidth="1"/>
    <col min="3079" max="3079" width="16.5546875" style="8" customWidth="1"/>
    <col min="3080" max="3080" width="14.33203125" style="8" customWidth="1"/>
    <col min="3081" max="3081" width="22.44140625" style="8" customWidth="1"/>
    <col min="3082" max="3082" width="22.5546875" style="8" customWidth="1"/>
    <col min="3083" max="3085" width="9.33203125" style="8" bestFit="1" customWidth="1"/>
    <col min="3086" max="3086" width="10.6640625" style="8" bestFit="1" customWidth="1"/>
    <col min="3087" max="3328" width="9.109375" style="8"/>
    <col min="3329" max="3329" width="52.5546875" style="8" customWidth="1"/>
    <col min="3330" max="3330" width="60" style="8" bestFit="1" customWidth="1"/>
    <col min="3331" max="3331" width="24.88671875" style="8" bestFit="1" customWidth="1"/>
    <col min="3332" max="3332" width="20.109375" style="8" customWidth="1"/>
    <col min="3333" max="3333" width="16.109375" style="8" customWidth="1"/>
    <col min="3334" max="3334" width="18" style="8" customWidth="1"/>
    <col min="3335" max="3335" width="16.5546875" style="8" customWidth="1"/>
    <col min="3336" max="3336" width="14.33203125" style="8" customWidth="1"/>
    <col min="3337" max="3337" width="22.44140625" style="8" customWidth="1"/>
    <col min="3338" max="3338" width="22.5546875" style="8" customWidth="1"/>
    <col min="3339" max="3341" width="9.33203125" style="8" bestFit="1" customWidth="1"/>
    <col min="3342" max="3342" width="10.6640625" style="8" bestFit="1" customWidth="1"/>
    <col min="3343" max="3584" width="9.109375" style="8"/>
    <col min="3585" max="3585" width="52.5546875" style="8" customWidth="1"/>
    <col min="3586" max="3586" width="60" style="8" bestFit="1" customWidth="1"/>
    <col min="3587" max="3587" width="24.88671875" style="8" bestFit="1" customWidth="1"/>
    <col min="3588" max="3588" width="20.109375" style="8" customWidth="1"/>
    <col min="3589" max="3589" width="16.109375" style="8" customWidth="1"/>
    <col min="3590" max="3590" width="18" style="8" customWidth="1"/>
    <col min="3591" max="3591" width="16.5546875" style="8" customWidth="1"/>
    <col min="3592" max="3592" width="14.33203125" style="8" customWidth="1"/>
    <col min="3593" max="3593" width="22.44140625" style="8" customWidth="1"/>
    <col min="3594" max="3594" width="22.5546875" style="8" customWidth="1"/>
    <col min="3595" max="3597" width="9.33203125" style="8" bestFit="1" customWidth="1"/>
    <col min="3598" max="3598" width="10.6640625" style="8" bestFit="1" customWidth="1"/>
    <col min="3599" max="3840" width="9.109375" style="8"/>
    <col min="3841" max="3841" width="52.5546875" style="8" customWidth="1"/>
    <col min="3842" max="3842" width="60" style="8" bestFit="1" customWidth="1"/>
    <col min="3843" max="3843" width="24.88671875" style="8" bestFit="1" customWidth="1"/>
    <col min="3844" max="3844" width="20.109375" style="8" customWidth="1"/>
    <col min="3845" max="3845" width="16.109375" style="8" customWidth="1"/>
    <col min="3846" max="3846" width="18" style="8" customWidth="1"/>
    <col min="3847" max="3847" width="16.5546875" style="8" customWidth="1"/>
    <col min="3848" max="3848" width="14.33203125" style="8" customWidth="1"/>
    <col min="3849" max="3849" width="22.44140625" style="8" customWidth="1"/>
    <col min="3850" max="3850" width="22.5546875" style="8" customWidth="1"/>
    <col min="3851" max="3853" width="9.33203125" style="8" bestFit="1" customWidth="1"/>
    <col min="3854" max="3854" width="10.6640625" style="8" bestFit="1" customWidth="1"/>
    <col min="3855" max="4096" width="9.109375" style="8"/>
    <col min="4097" max="4097" width="52.5546875" style="8" customWidth="1"/>
    <col min="4098" max="4098" width="60" style="8" bestFit="1" customWidth="1"/>
    <col min="4099" max="4099" width="24.88671875" style="8" bestFit="1" customWidth="1"/>
    <col min="4100" max="4100" width="20.109375" style="8" customWidth="1"/>
    <col min="4101" max="4101" width="16.109375" style="8" customWidth="1"/>
    <col min="4102" max="4102" width="18" style="8" customWidth="1"/>
    <col min="4103" max="4103" width="16.5546875" style="8" customWidth="1"/>
    <col min="4104" max="4104" width="14.33203125" style="8" customWidth="1"/>
    <col min="4105" max="4105" width="22.44140625" style="8" customWidth="1"/>
    <col min="4106" max="4106" width="22.5546875" style="8" customWidth="1"/>
    <col min="4107" max="4109" width="9.33203125" style="8" bestFit="1" customWidth="1"/>
    <col min="4110" max="4110" width="10.6640625" style="8" bestFit="1" customWidth="1"/>
    <col min="4111" max="4352" width="9.109375" style="8"/>
    <col min="4353" max="4353" width="52.5546875" style="8" customWidth="1"/>
    <col min="4354" max="4354" width="60" style="8" bestFit="1" customWidth="1"/>
    <col min="4355" max="4355" width="24.88671875" style="8" bestFit="1" customWidth="1"/>
    <col min="4356" max="4356" width="20.109375" style="8" customWidth="1"/>
    <col min="4357" max="4357" width="16.109375" style="8" customWidth="1"/>
    <col min="4358" max="4358" width="18" style="8" customWidth="1"/>
    <col min="4359" max="4359" width="16.5546875" style="8" customWidth="1"/>
    <col min="4360" max="4360" width="14.33203125" style="8" customWidth="1"/>
    <col min="4361" max="4361" width="22.44140625" style="8" customWidth="1"/>
    <col min="4362" max="4362" width="22.5546875" style="8" customWidth="1"/>
    <col min="4363" max="4365" width="9.33203125" style="8" bestFit="1" customWidth="1"/>
    <col min="4366" max="4366" width="10.6640625" style="8" bestFit="1" customWidth="1"/>
    <col min="4367" max="4608" width="9.109375" style="8"/>
    <col min="4609" max="4609" width="52.5546875" style="8" customWidth="1"/>
    <col min="4610" max="4610" width="60" style="8" bestFit="1" customWidth="1"/>
    <col min="4611" max="4611" width="24.88671875" style="8" bestFit="1" customWidth="1"/>
    <col min="4612" max="4612" width="20.109375" style="8" customWidth="1"/>
    <col min="4613" max="4613" width="16.109375" style="8" customWidth="1"/>
    <col min="4614" max="4614" width="18" style="8" customWidth="1"/>
    <col min="4615" max="4615" width="16.5546875" style="8" customWidth="1"/>
    <col min="4616" max="4616" width="14.33203125" style="8" customWidth="1"/>
    <col min="4617" max="4617" width="22.44140625" style="8" customWidth="1"/>
    <col min="4618" max="4618" width="22.5546875" style="8" customWidth="1"/>
    <col min="4619" max="4621" width="9.33203125" style="8" bestFit="1" customWidth="1"/>
    <col min="4622" max="4622" width="10.6640625" style="8" bestFit="1" customWidth="1"/>
    <col min="4623" max="4864" width="9.109375" style="8"/>
    <col min="4865" max="4865" width="52.5546875" style="8" customWidth="1"/>
    <col min="4866" max="4866" width="60" style="8" bestFit="1" customWidth="1"/>
    <col min="4867" max="4867" width="24.88671875" style="8" bestFit="1" customWidth="1"/>
    <col min="4868" max="4868" width="20.109375" style="8" customWidth="1"/>
    <col min="4869" max="4869" width="16.109375" style="8" customWidth="1"/>
    <col min="4870" max="4870" width="18" style="8" customWidth="1"/>
    <col min="4871" max="4871" width="16.5546875" style="8" customWidth="1"/>
    <col min="4872" max="4872" width="14.33203125" style="8" customWidth="1"/>
    <col min="4873" max="4873" width="22.44140625" style="8" customWidth="1"/>
    <col min="4874" max="4874" width="22.5546875" style="8" customWidth="1"/>
    <col min="4875" max="4877" width="9.33203125" style="8" bestFit="1" customWidth="1"/>
    <col min="4878" max="4878" width="10.6640625" style="8" bestFit="1" customWidth="1"/>
    <col min="4879" max="5120" width="9.109375" style="8"/>
    <col min="5121" max="5121" width="52.5546875" style="8" customWidth="1"/>
    <col min="5122" max="5122" width="60" style="8" bestFit="1" customWidth="1"/>
    <col min="5123" max="5123" width="24.88671875" style="8" bestFit="1" customWidth="1"/>
    <col min="5124" max="5124" width="20.109375" style="8" customWidth="1"/>
    <col min="5125" max="5125" width="16.109375" style="8" customWidth="1"/>
    <col min="5126" max="5126" width="18" style="8" customWidth="1"/>
    <col min="5127" max="5127" width="16.5546875" style="8" customWidth="1"/>
    <col min="5128" max="5128" width="14.33203125" style="8" customWidth="1"/>
    <col min="5129" max="5129" width="22.44140625" style="8" customWidth="1"/>
    <col min="5130" max="5130" width="22.5546875" style="8" customWidth="1"/>
    <col min="5131" max="5133" width="9.33203125" style="8" bestFit="1" customWidth="1"/>
    <col min="5134" max="5134" width="10.6640625" style="8" bestFit="1" customWidth="1"/>
    <col min="5135" max="5376" width="9.109375" style="8"/>
    <col min="5377" max="5377" width="52.5546875" style="8" customWidth="1"/>
    <col min="5378" max="5378" width="60" style="8" bestFit="1" customWidth="1"/>
    <col min="5379" max="5379" width="24.88671875" style="8" bestFit="1" customWidth="1"/>
    <col min="5380" max="5380" width="20.109375" style="8" customWidth="1"/>
    <col min="5381" max="5381" width="16.109375" style="8" customWidth="1"/>
    <col min="5382" max="5382" width="18" style="8" customWidth="1"/>
    <col min="5383" max="5383" width="16.5546875" style="8" customWidth="1"/>
    <col min="5384" max="5384" width="14.33203125" style="8" customWidth="1"/>
    <col min="5385" max="5385" width="22.44140625" style="8" customWidth="1"/>
    <col min="5386" max="5386" width="22.5546875" style="8" customWidth="1"/>
    <col min="5387" max="5389" width="9.33203125" style="8" bestFit="1" customWidth="1"/>
    <col min="5390" max="5390" width="10.6640625" style="8" bestFit="1" customWidth="1"/>
    <col min="5391" max="5632" width="9.109375" style="8"/>
    <col min="5633" max="5633" width="52.5546875" style="8" customWidth="1"/>
    <col min="5634" max="5634" width="60" style="8" bestFit="1" customWidth="1"/>
    <col min="5635" max="5635" width="24.88671875" style="8" bestFit="1" customWidth="1"/>
    <col min="5636" max="5636" width="20.109375" style="8" customWidth="1"/>
    <col min="5637" max="5637" width="16.109375" style="8" customWidth="1"/>
    <col min="5638" max="5638" width="18" style="8" customWidth="1"/>
    <col min="5639" max="5639" width="16.5546875" style="8" customWidth="1"/>
    <col min="5640" max="5640" width="14.33203125" style="8" customWidth="1"/>
    <col min="5641" max="5641" width="22.44140625" style="8" customWidth="1"/>
    <col min="5642" max="5642" width="22.5546875" style="8" customWidth="1"/>
    <col min="5643" max="5645" width="9.33203125" style="8" bestFit="1" customWidth="1"/>
    <col min="5646" max="5646" width="10.6640625" style="8" bestFit="1" customWidth="1"/>
    <col min="5647" max="5888" width="9.109375" style="8"/>
    <col min="5889" max="5889" width="52.5546875" style="8" customWidth="1"/>
    <col min="5890" max="5890" width="60" style="8" bestFit="1" customWidth="1"/>
    <col min="5891" max="5891" width="24.88671875" style="8" bestFit="1" customWidth="1"/>
    <col min="5892" max="5892" width="20.109375" style="8" customWidth="1"/>
    <col min="5893" max="5893" width="16.109375" style="8" customWidth="1"/>
    <col min="5894" max="5894" width="18" style="8" customWidth="1"/>
    <col min="5895" max="5895" width="16.5546875" style="8" customWidth="1"/>
    <col min="5896" max="5896" width="14.33203125" style="8" customWidth="1"/>
    <col min="5897" max="5897" width="22.44140625" style="8" customWidth="1"/>
    <col min="5898" max="5898" width="22.5546875" style="8" customWidth="1"/>
    <col min="5899" max="5901" width="9.33203125" style="8" bestFit="1" customWidth="1"/>
    <col min="5902" max="5902" width="10.6640625" style="8" bestFit="1" customWidth="1"/>
    <col min="5903" max="6144" width="9.109375" style="8"/>
    <col min="6145" max="6145" width="52.5546875" style="8" customWidth="1"/>
    <col min="6146" max="6146" width="60" style="8" bestFit="1" customWidth="1"/>
    <col min="6147" max="6147" width="24.88671875" style="8" bestFit="1" customWidth="1"/>
    <col min="6148" max="6148" width="20.109375" style="8" customWidth="1"/>
    <col min="6149" max="6149" width="16.109375" style="8" customWidth="1"/>
    <col min="6150" max="6150" width="18" style="8" customWidth="1"/>
    <col min="6151" max="6151" width="16.5546875" style="8" customWidth="1"/>
    <col min="6152" max="6152" width="14.33203125" style="8" customWidth="1"/>
    <col min="6153" max="6153" width="22.44140625" style="8" customWidth="1"/>
    <col min="6154" max="6154" width="22.5546875" style="8" customWidth="1"/>
    <col min="6155" max="6157" width="9.33203125" style="8" bestFit="1" customWidth="1"/>
    <col min="6158" max="6158" width="10.6640625" style="8" bestFit="1" customWidth="1"/>
    <col min="6159" max="6400" width="9.109375" style="8"/>
    <col min="6401" max="6401" width="52.5546875" style="8" customWidth="1"/>
    <col min="6402" max="6402" width="60" style="8" bestFit="1" customWidth="1"/>
    <col min="6403" max="6403" width="24.88671875" style="8" bestFit="1" customWidth="1"/>
    <col min="6404" max="6404" width="20.109375" style="8" customWidth="1"/>
    <col min="6405" max="6405" width="16.109375" style="8" customWidth="1"/>
    <col min="6406" max="6406" width="18" style="8" customWidth="1"/>
    <col min="6407" max="6407" width="16.5546875" style="8" customWidth="1"/>
    <col min="6408" max="6408" width="14.33203125" style="8" customWidth="1"/>
    <col min="6409" max="6409" width="22.44140625" style="8" customWidth="1"/>
    <col min="6410" max="6410" width="22.5546875" style="8" customWidth="1"/>
    <col min="6411" max="6413" width="9.33203125" style="8" bestFit="1" customWidth="1"/>
    <col min="6414" max="6414" width="10.6640625" style="8" bestFit="1" customWidth="1"/>
    <col min="6415" max="6656" width="9.109375" style="8"/>
    <col min="6657" max="6657" width="52.5546875" style="8" customWidth="1"/>
    <col min="6658" max="6658" width="60" style="8" bestFit="1" customWidth="1"/>
    <col min="6659" max="6659" width="24.88671875" style="8" bestFit="1" customWidth="1"/>
    <col min="6660" max="6660" width="20.109375" style="8" customWidth="1"/>
    <col min="6661" max="6661" width="16.109375" style="8" customWidth="1"/>
    <col min="6662" max="6662" width="18" style="8" customWidth="1"/>
    <col min="6663" max="6663" width="16.5546875" style="8" customWidth="1"/>
    <col min="6664" max="6664" width="14.33203125" style="8" customWidth="1"/>
    <col min="6665" max="6665" width="22.44140625" style="8" customWidth="1"/>
    <col min="6666" max="6666" width="22.5546875" style="8" customWidth="1"/>
    <col min="6667" max="6669" width="9.33203125" style="8" bestFit="1" customWidth="1"/>
    <col min="6670" max="6670" width="10.6640625" style="8" bestFit="1" customWidth="1"/>
    <col min="6671" max="6912" width="9.109375" style="8"/>
    <col min="6913" max="6913" width="52.5546875" style="8" customWidth="1"/>
    <col min="6914" max="6914" width="60" style="8" bestFit="1" customWidth="1"/>
    <col min="6915" max="6915" width="24.88671875" style="8" bestFit="1" customWidth="1"/>
    <col min="6916" max="6916" width="20.109375" style="8" customWidth="1"/>
    <col min="6917" max="6917" width="16.109375" style="8" customWidth="1"/>
    <col min="6918" max="6918" width="18" style="8" customWidth="1"/>
    <col min="6919" max="6919" width="16.5546875" style="8" customWidth="1"/>
    <col min="6920" max="6920" width="14.33203125" style="8" customWidth="1"/>
    <col min="6921" max="6921" width="22.44140625" style="8" customWidth="1"/>
    <col min="6922" max="6922" width="22.5546875" style="8" customWidth="1"/>
    <col min="6923" max="6925" width="9.33203125" style="8" bestFit="1" customWidth="1"/>
    <col min="6926" max="6926" width="10.6640625" style="8" bestFit="1" customWidth="1"/>
    <col min="6927" max="7168" width="9.109375" style="8"/>
    <col min="7169" max="7169" width="52.5546875" style="8" customWidth="1"/>
    <col min="7170" max="7170" width="60" style="8" bestFit="1" customWidth="1"/>
    <col min="7171" max="7171" width="24.88671875" style="8" bestFit="1" customWidth="1"/>
    <col min="7172" max="7172" width="20.109375" style="8" customWidth="1"/>
    <col min="7173" max="7173" width="16.109375" style="8" customWidth="1"/>
    <col min="7174" max="7174" width="18" style="8" customWidth="1"/>
    <col min="7175" max="7175" width="16.5546875" style="8" customWidth="1"/>
    <col min="7176" max="7176" width="14.33203125" style="8" customWidth="1"/>
    <col min="7177" max="7177" width="22.44140625" style="8" customWidth="1"/>
    <col min="7178" max="7178" width="22.5546875" style="8" customWidth="1"/>
    <col min="7179" max="7181" width="9.33203125" style="8" bestFit="1" customWidth="1"/>
    <col min="7182" max="7182" width="10.6640625" style="8" bestFit="1" customWidth="1"/>
    <col min="7183" max="7424" width="9.109375" style="8"/>
    <col min="7425" max="7425" width="52.5546875" style="8" customWidth="1"/>
    <col min="7426" max="7426" width="60" style="8" bestFit="1" customWidth="1"/>
    <col min="7427" max="7427" width="24.88671875" style="8" bestFit="1" customWidth="1"/>
    <col min="7428" max="7428" width="20.109375" style="8" customWidth="1"/>
    <col min="7429" max="7429" width="16.109375" style="8" customWidth="1"/>
    <col min="7430" max="7430" width="18" style="8" customWidth="1"/>
    <col min="7431" max="7431" width="16.5546875" style="8" customWidth="1"/>
    <col min="7432" max="7432" width="14.33203125" style="8" customWidth="1"/>
    <col min="7433" max="7433" width="22.44140625" style="8" customWidth="1"/>
    <col min="7434" max="7434" width="22.5546875" style="8" customWidth="1"/>
    <col min="7435" max="7437" width="9.33203125" style="8" bestFit="1" customWidth="1"/>
    <col min="7438" max="7438" width="10.6640625" style="8" bestFit="1" customWidth="1"/>
    <col min="7439" max="7680" width="9.109375" style="8"/>
    <col min="7681" max="7681" width="52.5546875" style="8" customWidth="1"/>
    <col min="7682" max="7682" width="60" style="8" bestFit="1" customWidth="1"/>
    <col min="7683" max="7683" width="24.88671875" style="8" bestFit="1" customWidth="1"/>
    <col min="7684" max="7684" width="20.109375" style="8" customWidth="1"/>
    <col min="7685" max="7685" width="16.109375" style="8" customWidth="1"/>
    <col min="7686" max="7686" width="18" style="8" customWidth="1"/>
    <col min="7687" max="7687" width="16.5546875" style="8" customWidth="1"/>
    <col min="7688" max="7688" width="14.33203125" style="8" customWidth="1"/>
    <col min="7689" max="7689" width="22.44140625" style="8" customWidth="1"/>
    <col min="7690" max="7690" width="22.5546875" style="8" customWidth="1"/>
    <col min="7691" max="7693" width="9.33203125" style="8" bestFit="1" customWidth="1"/>
    <col min="7694" max="7694" width="10.6640625" style="8" bestFit="1" customWidth="1"/>
    <col min="7695" max="7936" width="9.109375" style="8"/>
    <col min="7937" max="7937" width="52.5546875" style="8" customWidth="1"/>
    <col min="7938" max="7938" width="60" style="8" bestFit="1" customWidth="1"/>
    <col min="7939" max="7939" width="24.88671875" style="8" bestFit="1" customWidth="1"/>
    <col min="7940" max="7940" width="20.109375" style="8" customWidth="1"/>
    <col min="7941" max="7941" width="16.109375" style="8" customWidth="1"/>
    <col min="7942" max="7942" width="18" style="8" customWidth="1"/>
    <col min="7943" max="7943" width="16.5546875" style="8" customWidth="1"/>
    <col min="7944" max="7944" width="14.33203125" style="8" customWidth="1"/>
    <col min="7945" max="7945" width="22.44140625" style="8" customWidth="1"/>
    <col min="7946" max="7946" width="22.5546875" style="8" customWidth="1"/>
    <col min="7947" max="7949" width="9.33203125" style="8" bestFit="1" customWidth="1"/>
    <col min="7950" max="7950" width="10.6640625" style="8" bestFit="1" customWidth="1"/>
    <col min="7951" max="8192" width="9.109375" style="8"/>
    <col min="8193" max="8193" width="52.5546875" style="8" customWidth="1"/>
    <col min="8194" max="8194" width="60" style="8" bestFit="1" customWidth="1"/>
    <col min="8195" max="8195" width="24.88671875" style="8" bestFit="1" customWidth="1"/>
    <col min="8196" max="8196" width="20.109375" style="8" customWidth="1"/>
    <col min="8197" max="8197" width="16.109375" style="8" customWidth="1"/>
    <col min="8198" max="8198" width="18" style="8" customWidth="1"/>
    <col min="8199" max="8199" width="16.5546875" style="8" customWidth="1"/>
    <col min="8200" max="8200" width="14.33203125" style="8" customWidth="1"/>
    <col min="8201" max="8201" width="22.44140625" style="8" customWidth="1"/>
    <col min="8202" max="8202" width="22.5546875" style="8" customWidth="1"/>
    <col min="8203" max="8205" width="9.33203125" style="8" bestFit="1" customWidth="1"/>
    <col min="8206" max="8206" width="10.6640625" style="8" bestFit="1" customWidth="1"/>
    <col min="8207" max="8448" width="9.109375" style="8"/>
    <col min="8449" max="8449" width="52.5546875" style="8" customWidth="1"/>
    <col min="8450" max="8450" width="60" style="8" bestFit="1" customWidth="1"/>
    <col min="8451" max="8451" width="24.88671875" style="8" bestFit="1" customWidth="1"/>
    <col min="8452" max="8452" width="20.109375" style="8" customWidth="1"/>
    <col min="8453" max="8453" width="16.109375" style="8" customWidth="1"/>
    <col min="8454" max="8454" width="18" style="8" customWidth="1"/>
    <col min="8455" max="8455" width="16.5546875" style="8" customWidth="1"/>
    <col min="8456" max="8456" width="14.33203125" style="8" customWidth="1"/>
    <col min="8457" max="8457" width="22.44140625" style="8" customWidth="1"/>
    <col min="8458" max="8458" width="22.5546875" style="8" customWidth="1"/>
    <col min="8459" max="8461" width="9.33203125" style="8" bestFit="1" customWidth="1"/>
    <col min="8462" max="8462" width="10.6640625" style="8" bestFit="1" customWidth="1"/>
    <col min="8463" max="8704" width="9.109375" style="8"/>
    <col min="8705" max="8705" width="52.5546875" style="8" customWidth="1"/>
    <col min="8706" max="8706" width="60" style="8" bestFit="1" customWidth="1"/>
    <col min="8707" max="8707" width="24.88671875" style="8" bestFit="1" customWidth="1"/>
    <col min="8708" max="8708" width="20.109375" style="8" customWidth="1"/>
    <col min="8709" max="8709" width="16.109375" style="8" customWidth="1"/>
    <col min="8710" max="8710" width="18" style="8" customWidth="1"/>
    <col min="8711" max="8711" width="16.5546875" style="8" customWidth="1"/>
    <col min="8712" max="8712" width="14.33203125" style="8" customWidth="1"/>
    <col min="8713" max="8713" width="22.44140625" style="8" customWidth="1"/>
    <col min="8714" max="8714" width="22.5546875" style="8" customWidth="1"/>
    <col min="8715" max="8717" width="9.33203125" style="8" bestFit="1" customWidth="1"/>
    <col min="8718" max="8718" width="10.6640625" style="8" bestFit="1" customWidth="1"/>
    <col min="8719" max="8960" width="9.109375" style="8"/>
    <col min="8961" max="8961" width="52.5546875" style="8" customWidth="1"/>
    <col min="8962" max="8962" width="60" style="8" bestFit="1" customWidth="1"/>
    <col min="8963" max="8963" width="24.88671875" style="8" bestFit="1" customWidth="1"/>
    <col min="8964" max="8964" width="20.109375" style="8" customWidth="1"/>
    <col min="8965" max="8965" width="16.109375" style="8" customWidth="1"/>
    <col min="8966" max="8966" width="18" style="8" customWidth="1"/>
    <col min="8967" max="8967" width="16.5546875" style="8" customWidth="1"/>
    <col min="8968" max="8968" width="14.33203125" style="8" customWidth="1"/>
    <col min="8969" max="8969" width="22.44140625" style="8" customWidth="1"/>
    <col min="8970" max="8970" width="22.5546875" style="8" customWidth="1"/>
    <col min="8971" max="8973" width="9.33203125" style="8" bestFit="1" customWidth="1"/>
    <col min="8974" max="8974" width="10.6640625" style="8" bestFit="1" customWidth="1"/>
    <col min="8975" max="9216" width="9.109375" style="8"/>
    <col min="9217" max="9217" width="52.5546875" style="8" customWidth="1"/>
    <col min="9218" max="9218" width="60" style="8" bestFit="1" customWidth="1"/>
    <col min="9219" max="9219" width="24.88671875" style="8" bestFit="1" customWidth="1"/>
    <col min="9220" max="9220" width="20.109375" style="8" customWidth="1"/>
    <col min="9221" max="9221" width="16.109375" style="8" customWidth="1"/>
    <col min="9222" max="9222" width="18" style="8" customWidth="1"/>
    <col min="9223" max="9223" width="16.5546875" style="8" customWidth="1"/>
    <col min="9224" max="9224" width="14.33203125" style="8" customWidth="1"/>
    <col min="9225" max="9225" width="22.44140625" style="8" customWidth="1"/>
    <col min="9226" max="9226" width="22.5546875" style="8" customWidth="1"/>
    <col min="9227" max="9229" width="9.33203125" style="8" bestFit="1" customWidth="1"/>
    <col min="9230" max="9230" width="10.6640625" style="8" bestFit="1" customWidth="1"/>
    <col min="9231" max="9472" width="9.109375" style="8"/>
    <col min="9473" max="9473" width="52.5546875" style="8" customWidth="1"/>
    <col min="9474" max="9474" width="60" style="8" bestFit="1" customWidth="1"/>
    <col min="9475" max="9475" width="24.88671875" style="8" bestFit="1" customWidth="1"/>
    <col min="9476" max="9476" width="20.109375" style="8" customWidth="1"/>
    <col min="9477" max="9477" width="16.109375" style="8" customWidth="1"/>
    <col min="9478" max="9478" width="18" style="8" customWidth="1"/>
    <col min="9479" max="9479" width="16.5546875" style="8" customWidth="1"/>
    <col min="9480" max="9480" width="14.33203125" style="8" customWidth="1"/>
    <col min="9481" max="9481" width="22.44140625" style="8" customWidth="1"/>
    <col min="9482" max="9482" width="22.5546875" style="8" customWidth="1"/>
    <col min="9483" max="9485" width="9.33203125" style="8" bestFit="1" customWidth="1"/>
    <col min="9486" max="9486" width="10.6640625" style="8" bestFit="1" customWidth="1"/>
    <col min="9487" max="9728" width="9.109375" style="8"/>
    <col min="9729" max="9729" width="52.5546875" style="8" customWidth="1"/>
    <col min="9730" max="9730" width="60" style="8" bestFit="1" customWidth="1"/>
    <col min="9731" max="9731" width="24.88671875" style="8" bestFit="1" customWidth="1"/>
    <col min="9732" max="9732" width="20.109375" style="8" customWidth="1"/>
    <col min="9733" max="9733" width="16.109375" style="8" customWidth="1"/>
    <col min="9734" max="9734" width="18" style="8" customWidth="1"/>
    <col min="9735" max="9735" width="16.5546875" style="8" customWidth="1"/>
    <col min="9736" max="9736" width="14.33203125" style="8" customWidth="1"/>
    <col min="9737" max="9737" width="22.44140625" style="8" customWidth="1"/>
    <col min="9738" max="9738" width="22.5546875" style="8" customWidth="1"/>
    <col min="9739" max="9741" width="9.33203125" style="8" bestFit="1" customWidth="1"/>
    <col min="9742" max="9742" width="10.6640625" style="8" bestFit="1" customWidth="1"/>
    <col min="9743" max="9984" width="9.109375" style="8"/>
    <col min="9985" max="9985" width="52.5546875" style="8" customWidth="1"/>
    <col min="9986" max="9986" width="60" style="8" bestFit="1" customWidth="1"/>
    <col min="9987" max="9987" width="24.88671875" style="8" bestFit="1" customWidth="1"/>
    <col min="9988" max="9988" width="20.109375" style="8" customWidth="1"/>
    <col min="9989" max="9989" width="16.109375" style="8" customWidth="1"/>
    <col min="9990" max="9990" width="18" style="8" customWidth="1"/>
    <col min="9991" max="9991" width="16.5546875" style="8" customWidth="1"/>
    <col min="9992" max="9992" width="14.33203125" style="8" customWidth="1"/>
    <col min="9993" max="9993" width="22.44140625" style="8" customWidth="1"/>
    <col min="9994" max="9994" width="22.5546875" style="8" customWidth="1"/>
    <col min="9995" max="9997" width="9.33203125" style="8" bestFit="1" customWidth="1"/>
    <col min="9998" max="9998" width="10.6640625" style="8" bestFit="1" customWidth="1"/>
    <col min="9999" max="10240" width="9.109375" style="8"/>
    <col min="10241" max="10241" width="52.5546875" style="8" customWidth="1"/>
    <col min="10242" max="10242" width="60" style="8" bestFit="1" customWidth="1"/>
    <col min="10243" max="10243" width="24.88671875" style="8" bestFit="1" customWidth="1"/>
    <col min="10244" max="10244" width="20.109375" style="8" customWidth="1"/>
    <col min="10245" max="10245" width="16.109375" style="8" customWidth="1"/>
    <col min="10246" max="10246" width="18" style="8" customWidth="1"/>
    <col min="10247" max="10247" width="16.5546875" style="8" customWidth="1"/>
    <col min="10248" max="10248" width="14.33203125" style="8" customWidth="1"/>
    <col min="10249" max="10249" width="22.44140625" style="8" customWidth="1"/>
    <col min="10250" max="10250" width="22.5546875" style="8" customWidth="1"/>
    <col min="10251" max="10253" width="9.33203125" style="8" bestFit="1" customWidth="1"/>
    <col min="10254" max="10254" width="10.6640625" style="8" bestFit="1" customWidth="1"/>
    <col min="10255" max="10496" width="9.109375" style="8"/>
    <col min="10497" max="10497" width="52.5546875" style="8" customWidth="1"/>
    <col min="10498" max="10498" width="60" style="8" bestFit="1" customWidth="1"/>
    <col min="10499" max="10499" width="24.88671875" style="8" bestFit="1" customWidth="1"/>
    <col min="10500" max="10500" width="20.109375" style="8" customWidth="1"/>
    <col min="10501" max="10501" width="16.109375" style="8" customWidth="1"/>
    <col min="10502" max="10502" width="18" style="8" customWidth="1"/>
    <col min="10503" max="10503" width="16.5546875" style="8" customWidth="1"/>
    <col min="10504" max="10504" width="14.33203125" style="8" customWidth="1"/>
    <col min="10505" max="10505" width="22.44140625" style="8" customWidth="1"/>
    <col min="10506" max="10506" width="22.5546875" style="8" customWidth="1"/>
    <col min="10507" max="10509" width="9.33203125" style="8" bestFit="1" customWidth="1"/>
    <col min="10510" max="10510" width="10.6640625" style="8" bestFit="1" customWidth="1"/>
    <col min="10511" max="10752" width="9.109375" style="8"/>
    <col min="10753" max="10753" width="52.5546875" style="8" customWidth="1"/>
    <col min="10754" max="10754" width="60" style="8" bestFit="1" customWidth="1"/>
    <col min="10755" max="10755" width="24.88671875" style="8" bestFit="1" customWidth="1"/>
    <col min="10756" max="10756" width="20.109375" style="8" customWidth="1"/>
    <col min="10757" max="10757" width="16.109375" style="8" customWidth="1"/>
    <col min="10758" max="10758" width="18" style="8" customWidth="1"/>
    <col min="10759" max="10759" width="16.5546875" style="8" customWidth="1"/>
    <col min="10760" max="10760" width="14.33203125" style="8" customWidth="1"/>
    <col min="10761" max="10761" width="22.44140625" style="8" customWidth="1"/>
    <col min="10762" max="10762" width="22.5546875" style="8" customWidth="1"/>
    <col min="10763" max="10765" width="9.33203125" style="8" bestFit="1" customWidth="1"/>
    <col min="10766" max="10766" width="10.6640625" style="8" bestFit="1" customWidth="1"/>
    <col min="10767" max="11008" width="9.109375" style="8"/>
    <col min="11009" max="11009" width="52.5546875" style="8" customWidth="1"/>
    <col min="11010" max="11010" width="60" style="8" bestFit="1" customWidth="1"/>
    <col min="11011" max="11011" width="24.88671875" style="8" bestFit="1" customWidth="1"/>
    <col min="11012" max="11012" width="20.109375" style="8" customWidth="1"/>
    <col min="11013" max="11013" width="16.109375" style="8" customWidth="1"/>
    <col min="11014" max="11014" width="18" style="8" customWidth="1"/>
    <col min="11015" max="11015" width="16.5546875" style="8" customWidth="1"/>
    <col min="11016" max="11016" width="14.33203125" style="8" customWidth="1"/>
    <col min="11017" max="11017" width="22.44140625" style="8" customWidth="1"/>
    <col min="11018" max="11018" width="22.5546875" style="8" customWidth="1"/>
    <col min="11019" max="11021" width="9.33203125" style="8" bestFit="1" customWidth="1"/>
    <col min="11022" max="11022" width="10.6640625" style="8" bestFit="1" customWidth="1"/>
    <col min="11023" max="11264" width="9.109375" style="8"/>
    <col min="11265" max="11265" width="52.5546875" style="8" customWidth="1"/>
    <col min="11266" max="11266" width="60" style="8" bestFit="1" customWidth="1"/>
    <col min="11267" max="11267" width="24.88671875" style="8" bestFit="1" customWidth="1"/>
    <col min="11268" max="11268" width="20.109375" style="8" customWidth="1"/>
    <col min="11269" max="11269" width="16.109375" style="8" customWidth="1"/>
    <col min="11270" max="11270" width="18" style="8" customWidth="1"/>
    <col min="11271" max="11271" width="16.5546875" style="8" customWidth="1"/>
    <col min="11272" max="11272" width="14.33203125" style="8" customWidth="1"/>
    <col min="11273" max="11273" width="22.44140625" style="8" customWidth="1"/>
    <col min="11274" max="11274" width="22.5546875" style="8" customWidth="1"/>
    <col min="11275" max="11277" width="9.33203125" style="8" bestFit="1" customWidth="1"/>
    <col min="11278" max="11278" width="10.6640625" style="8" bestFit="1" customWidth="1"/>
    <col min="11279" max="11520" width="9.109375" style="8"/>
    <col min="11521" max="11521" width="52.5546875" style="8" customWidth="1"/>
    <col min="11522" max="11522" width="60" style="8" bestFit="1" customWidth="1"/>
    <col min="11523" max="11523" width="24.88671875" style="8" bestFit="1" customWidth="1"/>
    <col min="11524" max="11524" width="20.109375" style="8" customWidth="1"/>
    <col min="11525" max="11525" width="16.109375" style="8" customWidth="1"/>
    <col min="11526" max="11526" width="18" style="8" customWidth="1"/>
    <col min="11527" max="11527" width="16.5546875" style="8" customWidth="1"/>
    <col min="11528" max="11528" width="14.33203125" style="8" customWidth="1"/>
    <col min="11529" max="11529" width="22.44140625" style="8" customWidth="1"/>
    <col min="11530" max="11530" width="22.5546875" style="8" customWidth="1"/>
    <col min="11531" max="11533" width="9.33203125" style="8" bestFit="1" customWidth="1"/>
    <col min="11534" max="11534" width="10.6640625" style="8" bestFit="1" customWidth="1"/>
    <col min="11535" max="11776" width="9.109375" style="8"/>
    <col min="11777" max="11777" width="52.5546875" style="8" customWidth="1"/>
    <col min="11778" max="11778" width="60" style="8" bestFit="1" customWidth="1"/>
    <col min="11779" max="11779" width="24.88671875" style="8" bestFit="1" customWidth="1"/>
    <col min="11780" max="11780" width="20.109375" style="8" customWidth="1"/>
    <col min="11781" max="11781" width="16.109375" style="8" customWidth="1"/>
    <col min="11782" max="11782" width="18" style="8" customWidth="1"/>
    <col min="11783" max="11783" width="16.5546875" style="8" customWidth="1"/>
    <col min="11784" max="11784" width="14.33203125" style="8" customWidth="1"/>
    <col min="11785" max="11785" width="22.44140625" style="8" customWidth="1"/>
    <col min="11786" max="11786" width="22.5546875" style="8" customWidth="1"/>
    <col min="11787" max="11789" width="9.33203125" style="8" bestFit="1" customWidth="1"/>
    <col min="11790" max="11790" width="10.6640625" style="8" bestFit="1" customWidth="1"/>
    <col min="11791" max="12032" width="9.109375" style="8"/>
    <col min="12033" max="12033" width="52.5546875" style="8" customWidth="1"/>
    <col min="12034" max="12034" width="60" style="8" bestFit="1" customWidth="1"/>
    <col min="12035" max="12035" width="24.88671875" style="8" bestFit="1" customWidth="1"/>
    <col min="12036" max="12036" width="20.109375" style="8" customWidth="1"/>
    <col min="12037" max="12037" width="16.109375" style="8" customWidth="1"/>
    <col min="12038" max="12038" width="18" style="8" customWidth="1"/>
    <col min="12039" max="12039" width="16.5546875" style="8" customWidth="1"/>
    <col min="12040" max="12040" width="14.33203125" style="8" customWidth="1"/>
    <col min="12041" max="12041" width="22.44140625" style="8" customWidth="1"/>
    <col min="12042" max="12042" width="22.5546875" style="8" customWidth="1"/>
    <col min="12043" max="12045" width="9.33203125" style="8" bestFit="1" customWidth="1"/>
    <col min="12046" max="12046" width="10.6640625" style="8" bestFit="1" customWidth="1"/>
    <col min="12047" max="12288" width="9.109375" style="8"/>
    <col min="12289" max="12289" width="52.5546875" style="8" customWidth="1"/>
    <col min="12290" max="12290" width="60" style="8" bestFit="1" customWidth="1"/>
    <col min="12291" max="12291" width="24.88671875" style="8" bestFit="1" customWidth="1"/>
    <col min="12292" max="12292" width="20.109375" style="8" customWidth="1"/>
    <col min="12293" max="12293" width="16.109375" style="8" customWidth="1"/>
    <col min="12294" max="12294" width="18" style="8" customWidth="1"/>
    <col min="12295" max="12295" width="16.5546875" style="8" customWidth="1"/>
    <col min="12296" max="12296" width="14.33203125" style="8" customWidth="1"/>
    <col min="12297" max="12297" width="22.44140625" style="8" customWidth="1"/>
    <col min="12298" max="12298" width="22.5546875" style="8" customWidth="1"/>
    <col min="12299" max="12301" width="9.33203125" style="8" bestFit="1" customWidth="1"/>
    <col min="12302" max="12302" width="10.6640625" style="8" bestFit="1" customWidth="1"/>
    <col min="12303" max="12544" width="9.109375" style="8"/>
    <col min="12545" max="12545" width="52.5546875" style="8" customWidth="1"/>
    <col min="12546" max="12546" width="60" style="8" bestFit="1" customWidth="1"/>
    <col min="12547" max="12547" width="24.88671875" style="8" bestFit="1" customWidth="1"/>
    <col min="12548" max="12548" width="20.109375" style="8" customWidth="1"/>
    <col min="12549" max="12549" width="16.109375" style="8" customWidth="1"/>
    <col min="12550" max="12550" width="18" style="8" customWidth="1"/>
    <col min="12551" max="12551" width="16.5546875" style="8" customWidth="1"/>
    <col min="12552" max="12552" width="14.33203125" style="8" customWidth="1"/>
    <col min="12553" max="12553" width="22.44140625" style="8" customWidth="1"/>
    <col min="12554" max="12554" width="22.5546875" style="8" customWidth="1"/>
    <col min="12555" max="12557" width="9.33203125" style="8" bestFit="1" customWidth="1"/>
    <col min="12558" max="12558" width="10.6640625" style="8" bestFit="1" customWidth="1"/>
    <col min="12559" max="12800" width="9.109375" style="8"/>
    <col min="12801" max="12801" width="52.5546875" style="8" customWidth="1"/>
    <col min="12802" max="12802" width="60" style="8" bestFit="1" customWidth="1"/>
    <col min="12803" max="12803" width="24.88671875" style="8" bestFit="1" customWidth="1"/>
    <col min="12804" max="12804" width="20.109375" style="8" customWidth="1"/>
    <col min="12805" max="12805" width="16.109375" style="8" customWidth="1"/>
    <col min="12806" max="12806" width="18" style="8" customWidth="1"/>
    <col min="12807" max="12807" width="16.5546875" style="8" customWidth="1"/>
    <col min="12808" max="12808" width="14.33203125" style="8" customWidth="1"/>
    <col min="12809" max="12809" width="22.44140625" style="8" customWidth="1"/>
    <col min="12810" max="12810" width="22.5546875" style="8" customWidth="1"/>
    <col min="12811" max="12813" width="9.33203125" style="8" bestFit="1" customWidth="1"/>
    <col min="12814" max="12814" width="10.6640625" style="8" bestFit="1" customWidth="1"/>
    <col min="12815" max="13056" width="9.109375" style="8"/>
    <col min="13057" max="13057" width="52.5546875" style="8" customWidth="1"/>
    <col min="13058" max="13058" width="60" style="8" bestFit="1" customWidth="1"/>
    <col min="13059" max="13059" width="24.88671875" style="8" bestFit="1" customWidth="1"/>
    <col min="13060" max="13060" width="20.109375" style="8" customWidth="1"/>
    <col min="13061" max="13061" width="16.109375" style="8" customWidth="1"/>
    <col min="13062" max="13062" width="18" style="8" customWidth="1"/>
    <col min="13063" max="13063" width="16.5546875" style="8" customWidth="1"/>
    <col min="13064" max="13064" width="14.33203125" style="8" customWidth="1"/>
    <col min="13065" max="13065" width="22.44140625" style="8" customWidth="1"/>
    <col min="13066" max="13066" width="22.5546875" style="8" customWidth="1"/>
    <col min="13067" max="13069" width="9.33203125" style="8" bestFit="1" customWidth="1"/>
    <col min="13070" max="13070" width="10.6640625" style="8" bestFit="1" customWidth="1"/>
    <col min="13071" max="13312" width="9.109375" style="8"/>
    <col min="13313" max="13313" width="52.5546875" style="8" customWidth="1"/>
    <col min="13314" max="13314" width="60" style="8" bestFit="1" customWidth="1"/>
    <col min="13315" max="13315" width="24.88671875" style="8" bestFit="1" customWidth="1"/>
    <col min="13316" max="13316" width="20.109375" style="8" customWidth="1"/>
    <col min="13317" max="13317" width="16.109375" style="8" customWidth="1"/>
    <col min="13318" max="13318" width="18" style="8" customWidth="1"/>
    <col min="13319" max="13319" width="16.5546875" style="8" customWidth="1"/>
    <col min="13320" max="13320" width="14.33203125" style="8" customWidth="1"/>
    <col min="13321" max="13321" width="22.44140625" style="8" customWidth="1"/>
    <col min="13322" max="13322" width="22.5546875" style="8" customWidth="1"/>
    <col min="13323" max="13325" width="9.33203125" style="8" bestFit="1" customWidth="1"/>
    <col min="13326" max="13326" width="10.6640625" style="8" bestFit="1" customWidth="1"/>
    <col min="13327" max="13568" width="9.109375" style="8"/>
    <col min="13569" max="13569" width="52.5546875" style="8" customWidth="1"/>
    <col min="13570" max="13570" width="60" style="8" bestFit="1" customWidth="1"/>
    <col min="13571" max="13571" width="24.88671875" style="8" bestFit="1" customWidth="1"/>
    <col min="13572" max="13572" width="20.109375" style="8" customWidth="1"/>
    <col min="13573" max="13573" width="16.109375" style="8" customWidth="1"/>
    <col min="13574" max="13574" width="18" style="8" customWidth="1"/>
    <col min="13575" max="13575" width="16.5546875" style="8" customWidth="1"/>
    <col min="13576" max="13576" width="14.33203125" style="8" customWidth="1"/>
    <col min="13577" max="13577" width="22.44140625" style="8" customWidth="1"/>
    <col min="13578" max="13578" width="22.5546875" style="8" customWidth="1"/>
    <col min="13579" max="13581" width="9.33203125" style="8" bestFit="1" customWidth="1"/>
    <col min="13582" max="13582" width="10.6640625" style="8" bestFit="1" customWidth="1"/>
    <col min="13583" max="13824" width="9.109375" style="8"/>
    <col min="13825" max="13825" width="52.5546875" style="8" customWidth="1"/>
    <col min="13826" max="13826" width="60" style="8" bestFit="1" customWidth="1"/>
    <col min="13827" max="13827" width="24.88671875" style="8" bestFit="1" customWidth="1"/>
    <col min="13828" max="13828" width="20.109375" style="8" customWidth="1"/>
    <col min="13829" max="13829" width="16.109375" style="8" customWidth="1"/>
    <col min="13830" max="13830" width="18" style="8" customWidth="1"/>
    <col min="13831" max="13831" width="16.5546875" style="8" customWidth="1"/>
    <col min="13832" max="13832" width="14.33203125" style="8" customWidth="1"/>
    <col min="13833" max="13833" width="22.44140625" style="8" customWidth="1"/>
    <col min="13834" max="13834" width="22.5546875" style="8" customWidth="1"/>
    <col min="13835" max="13837" width="9.33203125" style="8" bestFit="1" customWidth="1"/>
    <col min="13838" max="13838" width="10.6640625" style="8" bestFit="1" customWidth="1"/>
    <col min="13839" max="14080" width="9.109375" style="8"/>
    <col min="14081" max="14081" width="52.5546875" style="8" customWidth="1"/>
    <col min="14082" max="14082" width="60" style="8" bestFit="1" customWidth="1"/>
    <col min="14083" max="14083" width="24.88671875" style="8" bestFit="1" customWidth="1"/>
    <col min="14084" max="14084" width="20.109375" style="8" customWidth="1"/>
    <col min="14085" max="14085" width="16.109375" style="8" customWidth="1"/>
    <col min="14086" max="14086" width="18" style="8" customWidth="1"/>
    <col min="14087" max="14087" width="16.5546875" style="8" customWidth="1"/>
    <col min="14088" max="14088" width="14.33203125" style="8" customWidth="1"/>
    <col min="14089" max="14089" width="22.44140625" style="8" customWidth="1"/>
    <col min="14090" max="14090" width="22.5546875" style="8" customWidth="1"/>
    <col min="14091" max="14093" width="9.33203125" style="8" bestFit="1" customWidth="1"/>
    <col min="14094" max="14094" width="10.6640625" style="8" bestFit="1" customWidth="1"/>
    <col min="14095" max="14336" width="9.109375" style="8"/>
    <col min="14337" max="14337" width="52.5546875" style="8" customWidth="1"/>
    <col min="14338" max="14338" width="60" style="8" bestFit="1" customWidth="1"/>
    <col min="14339" max="14339" width="24.88671875" style="8" bestFit="1" customWidth="1"/>
    <col min="14340" max="14340" width="20.109375" style="8" customWidth="1"/>
    <col min="14341" max="14341" width="16.109375" style="8" customWidth="1"/>
    <col min="14342" max="14342" width="18" style="8" customWidth="1"/>
    <col min="14343" max="14343" width="16.5546875" style="8" customWidth="1"/>
    <col min="14344" max="14344" width="14.33203125" style="8" customWidth="1"/>
    <col min="14345" max="14345" width="22.44140625" style="8" customWidth="1"/>
    <col min="14346" max="14346" width="22.5546875" style="8" customWidth="1"/>
    <col min="14347" max="14349" width="9.33203125" style="8" bestFit="1" customWidth="1"/>
    <col min="14350" max="14350" width="10.6640625" style="8" bestFit="1" customWidth="1"/>
    <col min="14351" max="14592" width="9.109375" style="8"/>
    <col min="14593" max="14593" width="52.5546875" style="8" customWidth="1"/>
    <col min="14594" max="14594" width="60" style="8" bestFit="1" customWidth="1"/>
    <col min="14595" max="14595" width="24.88671875" style="8" bestFit="1" customWidth="1"/>
    <col min="14596" max="14596" width="20.109375" style="8" customWidth="1"/>
    <col min="14597" max="14597" width="16.109375" style="8" customWidth="1"/>
    <col min="14598" max="14598" width="18" style="8" customWidth="1"/>
    <col min="14599" max="14599" width="16.5546875" style="8" customWidth="1"/>
    <col min="14600" max="14600" width="14.33203125" style="8" customWidth="1"/>
    <col min="14601" max="14601" width="22.44140625" style="8" customWidth="1"/>
    <col min="14602" max="14602" width="22.5546875" style="8" customWidth="1"/>
    <col min="14603" max="14605" width="9.33203125" style="8" bestFit="1" customWidth="1"/>
    <col min="14606" max="14606" width="10.6640625" style="8" bestFit="1" customWidth="1"/>
    <col min="14607" max="14848" width="9.109375" style="8"/>
    <col min="14849" max="14849" width="52.5546875" style="8" customWidth="1"/>
    <col min="14850" max="14850" width="60" style="8" bestFit="1" customWidth="1"/>
    <col min="14851" max="14851" width="24.88671875" style="8" bestFit="1" customWidth="1"/>
    <col min="14852" max="14852" width="20.109375" style="8" customWidth="1"/>
    <col min="14853" max="14853" width="16.109375" style="8" customWidth="1"/>
    <col min="14854" max="14854" width="18" style="8" customWidth="1"/>
    <col min="14855" max="14855" width="16.5546875" style="8" customWidth="1"/>
    <col min="14856" max="14856" width="14.33203125" style="8" customWidth="1"/>
    <col min="14857" max="14857" width="22.44140625" style="8" customWidth="1"/>
    <col min="14858" max="14858" width="22.5546875" style="8" customWidth="1"/>
    <col min="14859" max="14861" width="9.33203125" style="8" bestFit="1" customWidth="1"/>
    <col min="14862" max="14862" width="10.6640625" style="8" bestFit="1" customWidth="1"/>
    <col min="14863" max="15104" width="9.109375" style="8"/>
    <col min="15105" max="15105" width="52.5546875" style="8" customWidth="1"/>
    <col min="15106" max="15106" width="60" style="8" bestFit="1" customWidth="1"/>
    <col min="15107" max="15107" width="24.88671875" style="8" bestFit="1" customWidth="1"/>
    <col min="15108" max="15108" width="20.109375" style="8" customWidth="1"/>
    <col min="15109" max="15109" width="16.109375" style="8" customWidth="1"/>
    <col min="15110" max="15110" width="18" style="8" customWidth="1"/>
    <col min="15111" max="15111" width="16.5546875" style="8" customWidth="1"/>
    <col min="15112" max="15112" width="14.33203125" style="8" customWidth="1"/>
    <col min="15113" max="15113" width="22.44140625" style="8" customWidth="1"/>
    <col min="15114" max="15114" width="22.5546875" style="8" customWidth="1"/>
    <col min="15115" max="15117" width="9.33203125" style="8" bestFit="1" customWidth="1"/>
    <col min="15118" max="15118" width="10.6640625" style="8" bestFit="1" customWidth="1"/>
    <col min="15119" max="15360" width="9.109375" style="8"/>
    <col min="15361" max="15361" width="52.5546875" style="8" customWidth="1"/>
    <col min="15362" max="15362" width="60" style="8" bestFit="1" customWidth="1"/>
    <col min="15363" max="15363" width="24.88671875" style="8" bestFit="1" customWidth="1"/>
    <col min="15364" max="15364" width="20.109375" style="8" customWidth="1"/>
    <col min="15365" max="15365" width="16.109375" style="8" customWidth="1"/>
    <col min="15366" max="15366" width="18" style="8" customWidth="1"/>
    <col min="15367" max="15367" width="16.5546875" style="8" customWidth="1"/>
    <col min="15368" max="15368" width="14.33203125" style="8" customWidth="1"/>
    <col min="15369" max="15369" width="22.44140625" style="8" customWidth="1"/>
    <col min="15370" max="15370" width="22.5546875" style="8" customWidth="1"/>
    <col min="15371" max="15373" width="9.33203125" style="8" bestFit="1" customWidth="1"/>
    <col min="15374" max="15374" width="10.6640625" style="8" bestFit="1" customWidth="1"/>
    <col min="15375" max="15616" width="9.109375" style="8"/>
    <col min="15617" max="15617" width="52.5546875" style="8" customWidth="1"/>
    <col min="15618" max="15618" width="60" style="8" bestFit="1" customWidth="1"/>
    <col min="15619" max="15619" width="24.88671875" style="8" bestFit="1" customWidth="1"/>
    <col min="15620" max="15620" width="20.109375" style="8" customWidth="1"/>
    <col min="15621" max="15621" width="16.109375" style="8" customWidth="1"/>
    <col min="15622" max="15622" width="18" style="8" customWidth="1"/>
    <col min="15623" max="15623" width="16.5546875" style="8" customWidth="1"/>
    <col min="15624" max="15624" width="14.33203125" style="8" customWidth="1"/>
    <col min="15625" max="15625" width="22.44140625" style="8" customWidth="1"/>
    <col min="15626" max="15626" width="22.5546875" style="8" customWidth="1"/>
    <col min="15627" max="15629" width="9.33203125" style="8" bestFit="1" customWidth="1"/>
    <col min="15630" max="15630" width="10.6640625" style="8" bestFit="1" customWidth="1"/>
    <col min="15631" max="15872" width="9.109375" style="8"/>
    <col min="15873" max="15873" width="52.5546875" style="8" customWidth="1"/>
    <col min="15874" max="15874" width="60" style="8" bestFit="1" customWidth="1"/>
    <col min="15875" max="15875" width="24.88671875" style="8" bestFit="1" customWidth="1"/>
    <col min="15876" max="15876" width="20.109375" style="8" customWidth="1"/>
    <col min="15877" max="15877" width="16.109375" style="8" customWidth="1"/>
    <col min="15878" max="15878" width="18" style="8" customWidth="1"/>
    <col min="15879" max="15879" width="16.5546875" style="8" customWidth="1"/>
    <col min="15880" max="15880" width="14.33203125" style="8" customWidth="1"/>
    <col min="15881" max="15881" width="22.44140625" style="8" customWidth="1"/>
    <col min="15882" max="15882" width="22.5546875" style="8" customWidth="1"/>
    <col min="15883" max="15885" width="9.33203125" style="8" bestFit="1" customWidth="1"/>
    <col min="15886" max="15886" width="10.6640625" style="8" bestFit="1" customWidth="1"/>
    <col min="15887" max="16128" width="9.109375" style="8"/>
    <col min="16129" max="16129" width="52.5546875" style="8" customWidth="1"/>
    <col min="16130" max="16130" width="60" style="8" bestFit="1" customWidth="1"/>
    <col min="16131" max="16131" width="24.88671875" style="8" bestFit="1" customWidth="1"/>
    <col min="16132" max="16132" width="20.109375" style="8" customWidth="1"/>
    <col min="16133" max="16133" width="16.109375" style="8" customWidth="1"/>
    <col min="16134" max="16134" width="18" style="8" customWidth="1"/>
    <col min="16135" max="16135" width="16.5546875" style="8" customWidth="1"/>
    <col min="16136" max="16136" width="14.33203125" style="8" customWidth="1"/>
    <col min="16137" max="16137" width="22.44140625" style="8" customWidth="1"/>
    <col min="16138" max="16138" width="22.5546875" style="8" customWidth="1"/>
    <col min="16139" max="16141" width="9.33203125" style="8" bestFit="1" customWidth="1"/>
    <col min="16142" max="16142" width="10.6640625" style="8" bestFit="1" customWidth="1"/>
    <col min="16143" max="16384" width="9.109375" style="8"/>
  </cols>
  <sheetData>
    <row r="1" spans="1:15" ht="13.8" x14ac:dyDescent="0.25">
      <c r="A1" s="235"/>
      <c r="B1" s="236"/>
      <c r="C1" s="237"/>
      <c r="D1" s="238"/>
      <c r="E1" s="13" t="s">
        <v>961</v>
      </c>
    </row>
    <row r="2" spans="1:15" x14ac:dyDescent="0.25">
      <c r="A2" s="235"/>
      <c r="B2" s="236"/>
      <c r="C2" s="237"/>
      <c r="D2" s="238"/>
      <c r="E2" s="238"/>
    </row>
    <row r="3" spans="1:15" ht="16.8" x14ac:dyDescent="0.3">
      <c r="A3" s="599" t="s">
        <v>963</v>
      </c>
      <c r="B3" s="599"/>
      <c r="C3" s="599"/>
      <c r="D3" s="599"/>
      <c r="E3" s="599"/>
    </row>
    <row r="4" spans="1:15" x14ac:dyDescent="0.25">
      <c r="A4" s="235"/>
      <c r="B4" s="236"/>
      <c r="C4" s="237"/>
      <c r="D4" s="238"/>
      <c r="E4" s="238"/>
    </row>
    <row r="5" spans="1:15" x14ac:dyDescent="0.25">
      <c r="A5" s="235"/>
      <c r="B5" s="236"/>
      <c r="C5" s="237"/>
      <c r="D5" s="238"/>
      <c r="E5" s="238" t="s">
        <v>302</v>
      </c>
    </row>
    <row r="6" spans="1:15" ht="13.8" thickBot="1" x14ac:dyDescent="0.3">
      <c r="A6" s="236"/>
      <c r="B6" s="239"/>
      <c r="C6" s="240"/>
      <c r="D6" s="241"/>
      <c r="E6" s="242">
        <v>1</v>
      </c>
    </row>
    <row r="7" spans="1:15" ht="12.75" customHeight="1" x14ac:dyDescent="0.25">
      <c r="A7" s="600" t="s">
        <v>303</v>
      </c>
      <c r="B7" s="602" t="s">
        <v>304</v>
      </c>
      <c r="C7" s="604" t="s">
        <v>305</v>
      </c>
      <c r="D7" s="606" t="s">
        <v>306</v>
      </c>
      <c r="E7" s="608" t="s">
        <v>307</v>
      </c>
      <c r="F7" s="243" t="s">
        <v>308</v>
      </c>
      <c r="G7" s="244">
        <v>0.03</v>
      </c>
    </row>
    <row r="8" spans="1:15" ht="13.8" thickBot="1" x14ac:dyDescent="0.3">
      <c r="A8" s="601"/>
      <c r="B8" s="603"/>
      <c r="C8" s="605"/>
      <c r="D8" s="607"/>
      <c r="E8" s="609"/>
      <c r="F8" s="243"/>
    </row>
    <row r="9" spans="1:15" s="250" customFormat="1" x14ac:dyDescent="0.25">
      <c r="A9" s="245" t="s">
        <v>309</v>
      </c>
      <c r="B9" s="246" t="s">
        <v>310</v>
      </c>
      <c r="C9" s="247"/>
      <c r="D9" s="248">
        <f>598170+14986000</f>
        <v>15584170</v>
      </c>
      <c r="E9" s="249">
        <v>2614295</v>
      </c>
    </row>
    <row r="10" spans="1:15" s="250" customFormat="1" x14ac:dyDescent="0.25">
      <c r="A10" s="251" t="s">
        <v>311</v>
      </c>
      <c r="B10" s="252" t="s">
        <v>312</v>
      </c>
      <c r="C10" s="253" t="s">
        <v>313</v>
      </c>
      <c r="D10" s="254">
        <f>E10</f>
        <v>2472741</v>
      </c>
      <c r="E10" s="255">
        <v>2472741</v>
      </c>
      <c r="G10" s="256"/>
      <c r="H10" s="256"/>
      <c r="I10" s="256"/>
      <c r="J10" s="256"/>
      <c r="K10" s="256"/>
      <c r="L10" s="256"/>
      <c r="M10" s="256"/>
      <c r="N10" s="256"/>
      <c r="O10" s="256"/>
    </row>
    <row r="11" spans="1:15" s="250" customFormat="1" x14ac:dyDescent="0.25">
      <c r="A11" s="251" t="s">
        <v>314</v>
      </c>
      <c r="B11" s="257" t="s">
        <v>315</v>
      </c>
      <c r="C11" s="253" t="s">
        <v>316</v>
      </c>
      <c r="D11" s="254">
        <f>E11</f>
        <v>2213508</v>
      </c>
      <c r="E11" s="255">
        <v>2213508</v>
      </c>
      <c r="G11" s="256"/>
      <c r="H11" s="256"/>
      <c r="I11" s="256"/>
      <c r="J11" s="256"/>
      <c r="K11" s="256"/>
      <c r="L11" s="256"/>
      <c r="M11" s="256"/>
      <c r="N11" s="256"/>
      <c r="O11" s="256"/>
    </row>
    <row r="12" spans="1:15" s="259" customFormat="1" x14ac:dyDescent="0.25">
      <c r="A12" s="258" t="s">
        <v>317</v>
      </c>
      <c r="B12" s="257" t="s">
        <v>318</v>
      </c>
      <c r="C12" s="253" t="s">
        <v>313</v>
      </c>
      <c r="D12" s="254">
        <f>E12</f>
        <v>221880</v>
      </c>
      <c r="E12" s="255">
        <v>221880</v>
      </c>
      <c r="G12" s="260"/>
      <c r="H12" s="260"/>
      <c r="I12" s="260"/>
      <c r="J12" s="260"/>
      <c r="K12" s="260"/>
      <c r="L12" s="260"/>
      <c r="M12" s="260"/>
      <c r="N12" s="260"/>
      <c r="O12" s="260"/>
    </row>
    <row r="13" spans="1:15" s="250" customFormat="1" x14ac:dyDescent="0.25">
      <c r="A13" s="261" t="s">
        <v>319</v>
      </c>
      <c r="B13" s="262" t="s">
        <v>320</v>
      </c>
      <c r="C13" s="263" t="s">
        <v>313</v>
      </c>
      <c r="D13" s="264">
        <f>E13</f>
        <v>2748072</v>
      </c>
      <c r="E13" s="265">
        <v>2748072</v>
      </c>
      <c r="G13" s="256"/>
      <c r="H13" s="256"/>
      <c r="I13" s="256"/>
      <c r="J13" s="256"/>
      <c r="K13" s="256"/>
      <c r="L13" s="256"/>
      <c r="M13" s="256"/>
      <c r="N13" s="256"/>
      <c r="O13" s="256"/>
    </row>
    <row r="14" spans="1:15" s="259" customFormat="1" x14ac:dyDescent="0.25">
      <c r="A14" s="266" t="s">
        <v>321</v>
      </c>
      <c r="B14" s="267" t="s">
        <v>322</v>
      </c>
      <c r="C14" s="268" t="s">
        <v>323</v>
      </c>
      <c r="D14" s="269">
        <v>40000</v>
      </c>
      <c r="E14" s="270">
        <v>440000</v>
      </c>
      <c r="G14" s="260"/>
      <c r="H14" s="260"/>
      <c r="I14" s="260"/>
      <c r="J14" s="260"/>
      <c r="K14" s="260"/>
      <c r="L14" s="260"/>
      <c r="M14" s="260"/>
      <c r="N14" s="260"/>
      <c r="O14" s="260"/>
    </row>
    <row r="15" spans="1:15" s="259" customFormat="1" x14ac:dyDescent="0.25">
      <c r="A15" s="266" t="s">
        <v>324</v>
      </c>
      <c r="B15" s="267" t="s">
        <v>325</v>
      </c>
      <c r="C15" s="268">
        <v>44926</v>
      </c>
      <c r="D15" s="269"/>
      <c r="E15" s="270">
        <v>1247000</v>
      </c>
      <c r="G15" s="260"/>
      <c r="H15" s="260"/>
      <c r="I15" s="260"/>
      <c r="J15" s="260"/>
      <c r="K15" s="260"/>
      <c r="L15" s="260"/>
      <c r="M15" s="260"/>
      <c r="N15" s="260"/>
      <c r="O15" s="260"/>
    </row>
    <row r="16" spans="1:15" s="250" customFormat="1" ht="26.4" x14ac:dyDescent="0.25">
      <c r="A16" s="258" t="s">
        <v>326</v>
      </c>
      <c r="B16" s="271" t="s">
        <v>327</v>
      </c>
      <c r="C16" s="263">
        <v>44661</v>
      </c>
      <c r="D16" s="264">
        <v>48251693</v>
      </c>
      <c r="E16" s="265">
        <v>19778687</v>
      </c>
      <c r="G16" s="256"/>
      <c r="H16" s="256"/>
      <c r="I16" s="256"/>
      <c r="J16" s="256"/>
      <c r="K16" s="256"/>
      <c r="L16" s="256"/>
      <c r="M16" s="256"/>
      <c r="N16" s="256"/>
      <c r="O16" s="256"/>
    </row>
    <row r="17" spans="1:15" s="250" customFormat="1" ht="26.4" x14ac:dyDescent="0.25">
      <c r="A17" s="258" t="s">
        <v>326</v>
      </c>
      <c r="B17" s="272" t="s">
        <v>328</v>
      </c>
      <c r="C17" s="263">
        <v>44661</v>
      </c>
      <c r="D17" s="264">
        <v>11165477</v>
      </c>
      <c r="E17" s="265">
        <v>0</v>
      </c>
      <c r="F17" s="256"/>
      <c r="G17" s="256"/>
      <c r="H17" s="256"/>
      <c r="I17" s="256"/>
      <c r="J17" s="256"/>
      <c r="K17" s="256"/>
      <c r="L17" s="256"/>
      <c r="M17" s="256"/>
      <c r="N17" s="256"/>
      <c r="O17" s="256"/>
    </row>
    <row r="18" spans="1:15" s="250" customFormat="1" ht="26.4" x14ac:dyDescent="0.25">
      <c r="A18" s="258" t="s">
        <v>326</v>
      </c>
      <c r="B18" s="272" t="s">
        <v>329</v>
      </c>
      <c r="C18" s="263" t="s">
        <v>330</v>
      </c>
      <c r="D18" s="264">
        <f>271977410-E18</f>
        <v>57093743</v>
      </c>
      <c r="E18" s="265">
        <v>214883667</v>
      </c>
      <c r="G18" s="256"/>
      <c r="H18" s="256"/>
      <c r="I18" s="256"/>
      <c r="J18" s="256"/>
      <c r="K18" s="256"/>
      <c r="L18" s="256"/>
      <c r="M18" s="256"/>
      <c r="N18" s="256"/>
      <c r="O18" s="256"/>
    </row>
    <row r="19" spans="1:15" s="250" customFormat="1" ht="26.4" x14ac:dyDescent="0.25">
      <c r="A19" s="258" t="s">
        <v>326</v>
      </c>
      <c r="B19" s="272" t="s">
        <v>331</v>
      </c>
      <c r="C19" s="263" t="s">
        <v>330</v>
      </c>
      <c r="D19" s="264">
        <f>136283817-E19</f>
        <v>28864398</v>
      </c>
      <c r="E19" s="265">
        <v>107419419</v>
      </c>
      <c r="F19" s="256"/>
      <c r="G19" s="256"/>
      <c r="H19" s="256"/>
      <c r="I19" s="256"/>
      <c r="J19" s="256"/>
      <c r="K19" s="256"/>
      <c r="L19" s="256"/>
      <c r="M19" s="256"/>
      <c r="N19" s="256"/>
      <c r="O19" s="256"/>
    </row>
    <row r="20" spans="1:15" s="250" customFormat="1" ht="39.6" x14ac:dyDescent="0.25">
      <c r="A20" s="261" t="s">
        <v>332</v>
      </c>
      <c r="B20" s="271" t="s">
        <v>333</v>
      </c>
      <c r="C20" s="263" t="s">
        <v>313</v>
      </c>
      <c r="D20" s="264">
        <f t="shared" ref="D20:D22" si="0">E20</f>
        <v>1287346</v>
      </c>
      <c r="E20" s="265">
        <v>1287346</v>
      </c>
      <c r="G20" s="256"/>
      <c r="H20" s="256"/>
      <c r="I20" s="256"/>
      <c r="J20" s="256"/>
      <c r="K20" s="256"/>
      <c r="L20" s="256"/>
      <c r="M20" s="256"/>
      <c r="N20" s="256"/>
      <c r="O20" s="256"/>
    </row>
    <row r="21" spans="1:15" s="250" customFormat="1" x14ac:dyDescent="0.25">
      <c r="A21" s="261" t="s">
        <v>332</v>
      </c>
      <c r="B21" s="262" t="s">
        <v>334</v>
      </c>
      <c r="C21" s="263" t="s">
        <v>313</v>
      </c>
      <c r="D21" s="264">
        <f t="shared" si="0"/>
        <v>529863</v>
      </c>
      <c r="E21" s="265">
        <v>529863</v>
      </c>
      <c r="G21" s="256"/>
      <c r="H21" s="256"/>
      <c r="I21" s="256"/>
      <c r="J21" s="256"/>
      <c r="K21" s="256"/>
      <c r="L21" s="256"/>
      <c r="M21" s="256"/>
      <c r="N21" s="256"/>
      <c r="O21" s="256"/>
    </row>
    <row r="22" spans="1:15" s="250" customFormat="1" x14ac:dyDescent="0.25">
      <c r="A22" s="261" t="s">
        <v>332</v>
      </c>
      <c r="B22" s="262" t="s">
        <v>335</v>
      </c>
      <c r="C22" s="263" t="s">
        <v>313</v>
      </c>
      <c r="D22" s="264">
        <f t="shared" si="0"/>
        <v>1287346</v>
      </c>
      <c r="E22" s="265">
        <v>1287346</v>
      </c>
      <c r="G22" s="256"/>
      <c r="H22" s="256"/>
      <c r="I22" s="256"/>
      <c r="J22" s="256"/>
      <c r="K22" s="256"/>
      <c r="L22" s="256"/>
      <c r="M22" s="256"/>
      <c r="N22" s="256"/>
      <c r="O22" s="256"/>
    </row>
    <row r="23" spans="1:15" s="250" customFormat="1" x14ac:dyDescent="0.25">
      <c r="A23" s="261" t="s">
        <v>332</v>
      </c>
      <c r="B23" s="262" t="s">
        <v>336</v>
      </c>
      <c r="C23" s="263" t="s">
        <v>313</v>
      </c>
      <c r="D23" s="264">
        <f>E23</f>
        <v>78268</v>
      </c>
      <c r="E23" s="265">
        <v>78268</v>
      </c>
      <c r="G23" s="256"/>
      <c r="H23" s="256"/>
      <c r="I23" s="256"/>
      <c r="J23" s="256"/>
      <c r="K23" s="256"/>
      <c r="L23" s="256"/>
      <c r="M23" s="256"/>
      <c r="N23" s="256"/>
      <c r="O23" s="256"/>
    </row>
    <row r="24" spans="1:15" s="250" customFormat="1" ht="26.4" x14ac:dyDescent="0.25">
      <c r="A24" s="261" t="s">
        <v>337</v>
      </c>
      <c r="B24" s="271" t="s">
        <v>338</v>
      </c>
      <c r="C24" s="263" t="s">
        <v>339</v>
      </c>
      <c r="D24" s="264">
        <v>2794000</v>
      </c>
      <c r="E24" s="265">
        <v>0</v>
      </c>
      <c r="G24" s="256"/>
      <c r="H24" s="256"/>
      <c r="I24" s="256"/>
      <c r="J24" s="256"/>
      <c r="K24" s="256"/>
      <c r="L24" s="256"/>
      <c r="M24" s="256"/>
      <c r="N24" s="256"/>
      <c r="O24" s="256"/>
    </row>
    <row r="25" spans="1:15" s="250" customFormat="1" ht="26.4" x14ac:dyDescent="0.25">
      <c r="A25" s="261" t="s">
        <v>340</v>
      </c>
      <c r="B25" s="271" t="s">
        <v>341</v>
      </c>
      <c r="C25" s="273" t="s">
        <v>342</v>
      </c>
      <c r="D25" s="264">
        <v>1000000</v>
      </c>
      <c r="E25" s="265">
        <v>0</v>
      </c>
      <c r="G25" s="256"/>
      <c r="H25" s="256"/>
      <c r="I25" s="256"/>
      <c r="J25" s="256"/>
      <c r="K25" s="256"/>
      <c r="L25" s="256"/>
      <c r="M25" s="256"/>
      <c r="N25" s="256"/>
      <c r="O25" s="256"/>
    </row>
    <row r="26" spans="1:15" s="250" customFormat="1" ht="26.4" x14ac:dyDescent="0.25">
      <c r="A26" s="261" t="s">
        <v>343</v>
      </c>
      <c r="B26" s="271" t="s">
        <v>344</v>
      </c>
      <c r="C26" s="263">
        <v>45107</v>
      </c>
      <c r="D26" s="264">
        <f>E26</f>
        <v>2578163</v>
      </c>
      <c r="E26" s="265">
        <v>2578163</v>
      </c>
      <c r="G26" s="256"/>
      <c r="H26" s="256"/>
      <c r="I26" s="256"/>
      <c r="J26" s="256"/>
      <c r="K26" s="256"/>
      <c r="L26" s="256"/>
      <c r="M26" s="256"/>
      <c r="N26" s="256"/>
      <c r="O26" s="256"/>
    </row>
    <row r="27" spans="1:15" s="250" customFormat="1" x14ac:dyDescent="0.25">
      <c r="A27" s="261" t="s">
        <v>345</v>
      </c>
      <c r="B27" s="274" t="s">
        <v>346</v>
      </c>
      <c r="C27" s="275" t="s">
        <v>313</v>
      </c>
      <c r="D27" s="276">
        <f>E27</f>
        <v>5784</v>
      </c>
      <c r="E27" s="265">
        <v>5784</v>
      </c>
      <c r="G27" s="256"/>
      <c r="H27" s="256"/>
      <c r="I27" s="256"/>
      <c r="J27" s="256"/>
      <c r="K27" s="256"/>
      <c r="L27" s="256"/>
      <c r="M27" s="256"/>
      <c r="N27" s="256"/>
      <c r="O27" s="256"/>
    </row>
    <row r="28" spans="1:15" s="250" customFormat="1" x14ac:dyDescent="0.25">
      <c r="A28" s="261" t="s">
        <v>345</v>
      </c>
      <c r="B28" s="257" t="s">
        <v>347</v>
      </c>
      <c r="C28" s="275" t="s">
        <v>313</v>
      </c>
      <c r="D28" s="276">
        <f>E28</f>
        <v>277620</v>
      </c>
      <c r="E28" s="265">
        <v>277620</v>
      </c>
      <c r="G28" s="256"/>
      <c r="H28" s="256"/>
      <c r="I28" s="256"/>
      <c r="J28" s="256"/>
      <c r="K28" s="256"/>
      <c r="L28" s="256"/>
      <c r="M28" s="256"/>
      <c r="N28" s="256"/>
      <c r="O28" s="256"/>
    </row>
    <row r="29" spans="1:15" s="250" customFormat="1" x14ac:dyDescent="0.25">
      <c r="A29" s="261" t="s">
        <v>348</v>
      </c>
      <c r="B29" s="257" t="s">
        <v>349</v>
      </c>
      <c r="C29" s="263">
        <v>44723</v>
      </c>
      <c r="D29" s="276"/>
      <c r="E29" s="265">
        <v>50000</v>
      </c>
      <c r="G29" s="256"/>
      <c r="H29" s="256"/>
      <c r="I29" s="256"/>
      <c r="J29" s="256"/>
      <c r="K29" s="256"/>
      <c r="L29" s="256"/>
      <c r="M29" s="256"/>
      <c r="N29" s="256"/>
      <c r="O29" s="256"/>
    </row>
    <row r="30" spans="1:15" s="250" customFormat="1" x14ac:dyDescent="0.25">
      <c r="A30" s="261" t="s">
        <v>350</v>
      </c>
      <c r="B30" s="257" t="s">
        <v>351</v>
      </c>
      <c r="C30" s="263">
        <v>44749</v>
      </c>
      <c r="D30" s="276"/>
      <c r="E30" s="265">
        <v>201505</v>
      </c>
      <c r="G30" s="256"/>
      <c r="H30" s="256"/>
      <c r="I30" s="256"/>
      <c r="J30" s="256"/>
      <c r="K30" s="256"/>
      <c r="L30" s="256"/>
      <c r="M30" s="256"/>
      <c r="N30" s="256"/>
      <c r="O30" s="256"/>
    </row>
    <row r="31" spans="1:15" s="250" customFormat="1" ht="39.6" x14ac:dyDescent="0.25">
      <c r="A31" s="258" t="s">
        <v>352</v>
      </c>
      <c r="B31" s="272" t="s">
        <v>353</v>
      </c>
      <c r="C31" s="263" t="s">
        <v>354</v>
      </c>
      <c r="D31" s="276">
        <v>762000</v>
      </c>
      <c r="E31" s="265">
        <v>0</v>
      </c>
      <c r="G31" s="256"/>
      <c r="H31" s="256"/>
      <c r="I31" s="256"/>
      <c r="J31" s="256"/>
      <c r="K31" s="256"/>
      <c r="L31" s="256"/>
      <c r="M31" s="256"/>
      <c r="N31" s="256"/>
      <c r="O31" s="256"/>
    </row>
    <row r="32" spans="1:15" s="250" customFormat="1" x14ac:dyDescent="0.25">
      <c r="A32" s="277" t="s">
        <v>355</v>
      </c>
      <c r="B32" s="278" t="s">
        <v>356</v>
      </c>
      <c r="C32" s="275" t="s">
        <v>313</v>
      </c>
      <c r="D32" s="264">
        <f>E32</f>
        <v>120590</v>
      </c>
      <c r="E32" s="265">
        <v>120590</v>
      </c>
      <c r="G32" s="256"/>
      <c r="H32" s="256"/>
      <c r="I32" s="256"/>
      <c r="J32" s="256"/>
      <c r="K32" s="256"/>
      <c r="L32" s="256"/>
      <c r="M32" s="256"/>
      <c r="N32" s="256"/>
      <c r="O32" s="256"/>
    </row>
    <row r="33" spans="1:15" s="250" customFormat="1" x14ac:dyDescent="0.25">
      <c r="A33" s="277" t="s">
        <v>355</v>
      </c>
      <c r="B33" s="278" t="s">
        <v>357</v>
      </c>
      <c r="C33" s="275" t="s">
        <v>313</v>
      </c>
      <c r="D33" s="264">
        <f>E33</f>
        <v>58950</v>
      </c>
      <c r="E33" s="265">
        <v>58950</v>
      </c>
      <c r="G33" s="256"/>
      <c r="H33" s="256"/>
      <c r="I33" s="256"/>
      <c r="J33" s="256"/>
      <c r="K33" s="256"/>
      <c r="L33" s="256"/>
      <c r="M33" s="256"/>
      <c r="N33" s="256"/>
      <c r="O33" s="256"/>
    </row>
    <row r="34" spans="1:15" s="250" customFormat="1" x14ac:dyDescent="0.25">
      <c r="A34" s="277" t="s">
        <v>355</v>
      </c>
      <c r="B34" s="278" t="s">
        <v>358</v>
      </c>
      <c r="C34" s="275" t="s">
        <v>313</v>
      </c>
      <c r="D34" s="264">
        <f>E34</f>
        <v>640180</v>
      </c>
      <c r="E34" s="265">
        <v>640180</v>
      </c>
      <c r="G34" s="256"/>
      <c r="H34" s="256"/>
      <c r="I34" s="256"/>
      <c r="J34" s="256"/>
      <c r="K34" s="256"/>
      <c r="L34" s="256"/>
      <c r="M34" s="256"/>
      <c r="N34" s="256"/>
      <c r="O34" s="256"/>
    </row>
    <row r="35" spans="1:15" s="250" customFormat="1" x14ac:dyDescent="0.25">
      <c r="A35" s="251" t="s">
        <v>359</v>
      </c>
      <c r="B35" s="252" t="s">
        <v>360</v>
      </c>
      <c r="C35" s="253" t="s">
        <v>313</v>
      </c>
      <c r="D35" s="254">
        <f>E35</f>
        <v>52550</v>
      </c>
      <c r="E35" s="255">
        <v>52550</v>
      </c>
    </row>
    <row r="36" spans="1:15" s="250" customFormat="1" x14ac:dyDescent="0.25">
      <c r="A36" s="277" t="s">
        <v>361</v>
      </c>
      <c r="B36" s="278" t="s">
        <v>362</v>
      </c>
      <c r="C36" s="263" t="s">
        <v>313</v>
      </c>
      <c r="D36" s="279">
        <f t="shared" ref="D36:D37" si="1">E36</f>
        <v>141419</v>
      </c>
      <c r="E36" s="280">
        <v>141419</v>
      </c>
      <c r="G36" s="256"/>
      <c r="H36" s="256"/>
      <c r="I36" s="256"/>
      <c r="J36" s="256"/>
      <c r="K36" s="256"/>
      <c r="L36" s="256"/>
      <c r="M36" s="256"/>
      <c r="N36" s="256"/>
      <c r="O36" s="256"/>
    </row>
    <row r="37" spans="1:15" s="250" customFormat="1" x14ac:dyDescent="0.25">
      <c r="A37" s="277" t="s">
        <v>361</v>
      </c>
      <c r="B37" s="278" t="s">
        <v>363</v>
      </c>
      <c r="C37" s="263" t="s">
        <v>313</v>
      </c>
      <c r="D37" s="279">
        <f t="shared" si="1"/>
        <v>48130</v>
      </c>
      <c r="E37" s="280">
        <v>48130</v>
      </c>
      <c r="G37" s="256"/>
      <c r="H37" s="256"/>
      <c r="I37" s="256"/>
      <c r="J37" s="256"/>
      <c r="K37" s="256"/>
      <c r="L37" s="256"/>
      <c r="M37" s="256"/>
      <c r="N37" s="256"/>
      <c r="O37" s="256"/>
    </row>
    <row r="38" spans="1:15" s="250" customFormat="1" x14ac:dyDescent="0.25">
      <c r="A38" s="277" t="s">
        <v>361</v>
      </c>
      <c r="B38" s="278" t="s">
        <v>364</v>
      </c>
      <c r="C38" s="263" t="s">
        <v>313</v>
      </c>
      <c r="D38" s="279">
        <f>E38</f>
        <v>14844</v>
      </c>
      <c r="E38" s="280">
        <v>14844</v>
      </c>
      <c r="G38" s="256"/>
      <c r="H38" s="256"/>
      <c r="I38" s="256"/>
      <c r="J38" s="256"/>
      <c r="K38" s="256"/>
      <c r="L38" s="256"/>
      <c r="M38" s="256"/>
      <c r="N38" s="256"/>
      <c r="O38" s="256"/>
    </row>
    <row r="39" spans="1:15" s="259" customFormat="1" x14ac:dyDescent="0.25">
      <c r="A39" s="277" t="s">
        <v>361</v>
      </c>
      <c r="B39" s="257" t="s">
        <v>365</v>
      </c>
      <c r="C39" s="263" t="s">
        <v>313</v>
      </c>
      <c r="D39" s="279">
        <f>E39</f>
        <v>0</v>
      </c>
      <c r="E39" s="280">
        <v>0</v>
      </c>
      <c r="G39" s="260"/>
      <c r="H39" s="260"/>
      <c r="I39" s="260"/>
      <c r="J39" s="260"/>
      <c r="K39" s="260"/>
      <c r="L39" s="260"/>
      <c r="M39" s="260"/>
      <c r="N39" s="260"/>
      <c r="O39" s="260"/>
    </row>
    <row r="40" spans="1:15" s="259" customFormat="1" x14ac:dyDescent="0.25">
      <c r="A40" s="277" t="s">
        <v>361</v>
      </c>
      <c r="B40" s="257" t="s">
        <v>366</v>
      </c>
      <c r="C40" s="263" t="s">
        <v>313</v>
      </c>
      <c r="D40" s="279">
        <f>(E40/7)*12</f>
        <v>247873.71428571432</v>
      </c>
      <c r="E40" s="280">
        <v>144593</v>
      </c>
      <c r="G40" s="260"/>
      <c r="H40" s="260"/>
      <c r="I40" s="260"/>
      <c r="J40" s="260"/>
      <c r="K40" s="260"/>
      <c r="L40" s="260"/>
      <c r="M40" s="260"/>
      <c r="N40" s="260"/>
      <c r="O40" s="260"/>
    </row>
    <row r="41" spans="1:15" s="259" customFormat="1" x14ac:dyDescent="0.25">
      <c r="A41" s="277" t="s">
        <v>367</v>
      </c>
      <c r="B41" s="257" t="s">
        <v>368</v>
      </c>
      <c r="C41" s="263" t="s">
        <v>313</v>
      </c>
      <c r="D41" s="279">
        <f>(E41/5)*12</f>
        <v>262080</v>
      </c>
      <c r="E41" s="280">
        <v>109200</v>
      </c>
      <c r="G41" s="260"/>
      <c r="H41" s="260"/>
      <c r="I41" s="260"/>
      <c r="J41" s="260"/>
      <c r="K41" s="260"/>
      <c r="L41" s="260"/>
      <c r="M41" s="260"/>
      <c r="N41" s="260"/>
      <c r="O41" s="260"/>
    </row>
    <row r="42" spans="1:15" s="250" customFormat="1" x14ac:dyDescent="0.25">
      <c r="A42" s="277" t="s">
        <v>369</v>
      </c>
      <c r="B42" s="278" t="s">
        <v>370</v>
      </c>
      <c r="C42" s="263" t="s">
        <v>313</v>
      </c>
      <c r="D42" s="279">
        <f>E42</f>
        <v>1000000</v>
      </c>
      <c r="E42" s="280">
        <v>1000000</v>
      </c>
      <c r="G42" s="256"/>
      <c r="H42" s="256"/>
      <c r="I42" s="256"/>
      <c r="J42" s="256"/>
      <c r="K42" s="256"/>
      <c r="L42" s="256"/>
      <c r="M42" s="256"/>
      <c r="N42" s="256"/>
      <c r="O42" s="256"/>
    </row>
    <row r="43" spans="1:15" s="250" customFormat="1" ht="13.8" x14ac:dyDescent="0.3">
      <c r="A43" s="277" t="s">
        <v>371</v>
      </c>
      <c r="B43" s="278" t="s">
        <v>346</v>
      </c>
      <c r="C43" s="263" t="s">
        <v>313</v>
      </c>
      <c r="D43" s="279">
        <f>E43*2</f>
        <v>10410</v>
      </c>
      <c r="E43" s="280">
        <v>5205</v>
      </c>
      <c r="G43" s="256"/>
      <c r="H43" s="256"/>
      <c r="I43" s="281"/>
      <c r="J43" s="256"/>
      <c r="K43" s="256"/>
      <c r="L43" s="256"/>
      <c r="M43" s="256"/>
      <c r="N43" s="256"/>
      <c r="O43" s="256"/>
    </row>
    <row r="44" spans="1:15" s="259" customFormat="1" ht="13.8" x14ac:dyDescent="0.3">
      <c r="A44" s="282" t="s">
        <v>372</v>
      </c>
      <c r="B44" s="283" t="s">
        <v>373</v>
      </c>
      <c r="C44" s="268" t="s">
        <v>313</v>
      </c>
      <c r="D44" s="284">
        <f>12*47549</f>
        <v>570588</v>
      </c>
      <c r="E44" s="285">
        <v>570586</v>
      </c>
      <c r="G44" s="260"/>
      <c r="H44" s="260"/>
      <c r="I44" s="286"/>
      <c r="J44" s="260"/>
      <c r="K44" s="260"/>
      <c r="L44" s="260"/>
      <c r="M44" s="260"/>
      <c r="N44" s="260"/>
      <c r="O44" s="260"/>
    </row>
    <row r="45" spans="1:15" s="259" customFormat="1" ht="13.8" x14ac:dyDescent="0.3">
      <c r="A45" s="277" t="s">
        <v>372</v>
      </c>
      <c r="B45" s="262" t="s">
        <v>374</v>
      </c>
      <c r="C45" s="263" t="s">
        <v>313</v>
      </c>
      <c r="D45" s="264"/>
      <c r="E45" s="265">
        <v>240000010</v>
      </c>
      <c r="G45" s="260"/>
      <c r="H45" s="260"/>
      <c r="I45" s="260"/>
      <c r="J45" s="286"/>
      <c r="K45" s="260"/>
      <c r="L45" s="260"/>
      <c r="M45" s="260"/>
      <c r="N45" s="260"/>
      <c r="O45" s="260"/>
    </row>
    <row r="46" spans="1:15" s="250" customFormat="1" ht="13.8" x14ac:dyDescent="0.3">
      <c r="A46" s="277" t="s">
        <v>372</v>
      </c>
      <c r="B46" s="262" t="s">
        <v>375</v>
      </c>
      <c r="C46" s="263">
        <v>44620</v>
      </c>
      <c r="D46" s="264">
        <v>1500000</v>
      </c>
      <c r="E46" s="265">
        <v>885688</v>
      </c>
      <c r="G46" s="256"/>
      <c r="H46" s="256"/>
      <c r="I46" s="256"/>
      <c r="J46" s="281"/>
      <c r="K46" s="256"/>
      <c r="L46" s="256"/>
      <c r="M46" s="256"/>
      <c r="N46" s="256"/>
      <c r="O46" s="256"/>
    </row>
    <row r="47" spans="1:15" s="250" customFormat="1" x14ac:dyDescent="0.25">
      <c r="A47" s="277" t="s">
        <v>376</v>
      </c>
      <c r="B47" s="278" t="s">
        <v>377</v>
      </c>
      <c r="C47" s="263">
        <v>44196</v>
      </c>
      <c r="D47" s="279">
        <f>5282573-3737900</f>
        <v>1544673</v>
      </c>
      <c r="E47" s="287">
        <v>0</v>
      </c>
      <c r="F47" s="256"/>
      <c r="G47" s="256"/>
      <c r="H47" s="256"/>
      <c r="I47" s="256"/>
      <c r="J47" s="256"/>
      <c r="K47" s="256"/>
      <c r="L47" s="256"/>
      <c r="M47" s="256"/>
      <c r="N47" s="256"/>
      <c r="O47" s="256"/>
    </row>
    <row r="48" spans="1:15" s="250" customFormat="1" x14ac:dyDescent="0.25">
      <c r="A48" s="277" t="s">
        <v>376</v>
      </c>
      <c r="B48" s="278" t="s">
        <v>378</v>
      </c>
      <c r="C48" s="263">
        <v>43356</v>
      </c>
      <c r="D48" s="279">
        <v>1700000</v>
      </c>
      <c r="E48" s="280">
        <v>0</v>
      </c>
      <c r="F48" s="256"/>
      <c r="H48" s="256"/>
      <c r="I48" s="256"/>
      <c r="J48" s="256"/>
      <c r="K48" s="256"/>
      <c r="L48" s="256"/>
      <c r="M48" s="256"/>
      <c r="N48" s="256"/>
      <c r="O48" s="256"/>
    </row>
    <row r="49" spans="1:15" s="259" customFormat="1" x14ac:dyDescent="0.25">
      <c r="A49" s="277" t="s">
        <v>379</v>
      </c>
      <c r="B49" s="278" t="s">
        <v>380</v>
      </c>
      <c r="C49" s="263" t="s">
        <v>313</v>
      </c>
      <c r="D49" s="279">
        <f>E49</f>
        <v>3904615</v>
      </c>
      <c r="E49" s="280">
        <v>3904615</v>
      </c>
      <c r="F49" s="260"/>
      <c r="H49" s="260"/>
      <c r="I49" s="260"/>
      <c r="J49" s="260"/>
      <c r="K49" s="260"/>
      <c r="L49" s="260"/>
      <c r="M49" s="260"/>
      <c r="N49" s="260"/>
      <c r="O49" s="260"/>
    </row>
    <row r="50" spans="1:15" s="259" customFormat="1" x14ac:dyDescent="0.25">
      <c r="A50" s="277" t="s">
        <v>381</v>
      </c>
      <c r="B50" s="288" t="s">
        <v>382</v>
      </c>
      <c r="C50" s="289" t="s">
        <v>313</v>
      </c>
      <c r="D50" s="279">
        <f>40000*12</f>
        <v>480000</v>
      </c>
      <c r="E50" s="280">
        <v>200000</v>
      </c>
      <c r="F50" s="260"/>
      <c r="H50" s="260"/>
      <c r="I50" s="260"/>
      <c r="J50" s="260"/>
      <c r="K50" s="260"/>
      <c r="L50" s="260"/>
      <c r="M50" s="260"/>
      <c r="N50" s="260"/>
      <c r="O50" s="260"/>
    </row>
    <row r="51" spans="1:15" s="259" customFormat="1" x14ac:dyDescent="0.25">
      <c r="A51" s="277" t="s">
        <v>383</v>
      </c>
      <c r="B51" s="278" t="s">
        <v>384</v>
      </c>
      <c r="C51" s="263" t="s">
        <v>313</v>
      </c>
      <c r="D51" s="279">
        <f>12*30000</f>
        <v>360000</v>
      </c>
      <c r="E51" s="280">
        <v>90000</v>
      </c>
      <c r="F51" s="260"/>
      <c r="H51" s="260"/>
      <c r="I51" s="260"/>
      <c r="J51" s="260"/>
      <c r="K51" s="260"/>
      <c r="L51" s="260"/>
      <c r="M51" s="260"/>
      <c r="N51" s="260"/>
      <c r="O51" s="260"/>
    </row>
    <row r="52" spans="1:15" s="259" customFormat="1" x14ac:dyDescent="0.25">
      <c r="A52" s="277" t="s">
        <v>385</v>
      </c>
      <c r="B52" s="278" t="s">
        <v>386</v>
      </c>
      <c r="C52" s="263" t="s">
        <v>313</v>
      </c>
      <c r="D52" s="279">
        <f>E52*2</f>
        <v>347530</v>
      </c>
      <c r="E52" s="280">
        <v>173765</v>
      </c>
      <c r="F52" s="260"/>
      <c r="H52" s="260"/>
      <c r="I52" s="260"/>
      <c r="J52" s="260"/>
      <c r="K52" s="260"/>
      <c r="L52" s="260"/>
      <c r="M52" s="260"/>
      <c r="N52" s="260"/>
      <c r="O52" s="260"/>
    </row>
    <row r="53" spans="1:15" s="259" customFormat="1" x14ac:dyDescent="0.25">
      <c r="A53" s="266" t="s">
        <v>387</v>
      </c>
      <c r="B53" s="267" t="s">
        <v>388</v>
      </c>
      <c r="C53" s="268">
        <v>44926</v>
      </c>
      <c r="D53" s="269">
        <v>100600</v>
      </c>
      <c r="E53" s="270">
        <v>1219015</v>
      </c>
      <c r="G53" s="260"/>
      <c r="H53" s="260"/>
      <c r="I53" s="260"/>
      <c r="J53" s="260"/>
      <c r="K53" s="260"/>
      <c r="L53" s="260"/>
      <c r="M53" s="260"/>
      <c r="N53" s="260"/>
      <c r="O53" s="260"/>
    </row>
    <row r="54" spans="1:15" s="259" customFormat="1" x14ac:dyDescent="0.25">
      <c r="A54" s="266" t="s">
        <v>387</v>
      </c>
      <c r="B54" s="267" t="s">
        <v>389</v>
      </c>
      <c r="C54" s="268" t="s">
        <v>313</v>
      </c>
      <c r="D54" s="269">
        <f>E54</f>
        <v>277200</v>
      </c>
      <c r="E54" s="270">
        <v>277200</v>
      </c>
      <c r="F54" s="260"/>
      <c r="G54" s="260"/>
      <c r="H54" s="260"/>
      <c r="I54" s="260"/>
      <c r="J54" s="260"/>
      <c r="K54" s="260"/>
      <c r="L54" s="260"/>
      <c r="M54" s="260"/>
      <c r="N54" s="260"/>
      <c r="O54" s="260"/>
    </row>
    <row r="55" spans="1:15" s="259" customFormat="1" x14ac:dyDescent="0.25">
      <c r="A55" s="266" t="s">
        <v>390</v>
      </c>
      <c r="B55" s="267" t="s">
        <v>391</v>
      </c>
      <c r="C55" s="268">
        <v>45107</v>
      </c>
      <c r="D55" s="269">
        <f>2162500+337500+(180000*4)</f>
        <v>3220000</v>
      </c>
      <c r="E55" s="270">
        <v>3860000</v>
      </c>
      <c r="F55" s="260"/>
      <c r="G55" s="260"/>
      <c r="H55" s="260"/>
      <c r="I55" s="260"/>
      <c r="J55" s="260"/>
      <c r="K55" s="260"/>
      <c r="L55" s="260"/>
      <c r="M55" s="260"/>
      <c r="N55" s="260"/>
      <c r="O55" s="260"/>
    </row>
    <row r="56" spans="1:15" s="259" customFormat="1" x14ac:dyDescent="0.25">
      <c r="A56" s="277" t="s">
        <v>392</v>
      </c>
      <c r="B56" s="278" t="s">
        <v>393</v>
      </c>
      <c r="C56" s="263" t="s">
        <v>313</v>
      </c>
      <c r="D56" s="264">
        <f>E56*E6</f>
        <v>6550520</v>
      </c>
      <c r="E56" s="290">
        <v>6550520</v>
      </c>
      <c r="G56" s="260"/>
      <c r="H56" s="260"/>
      <c r="I56" s="260"/>
      <c r="J56" s="260"/>
      <c r="K56" s="260"/>
      <c r="L56" s="260"/>
      <c r="M56" s="260"/>
      <c r="N56" s="260"/>
      <c r="O56" s="260"/>
    </row>
    <row r="57" spans="1:15" s="250" customFormat="1" x14ac:dyDescent="0.25">
      <c r="A57" s="277" t="s">
        <v>394</v>
      </c>
      <c r="B57" s="278" t="s">
        <v>395</v>
      </c>
      <c r="C57" s="263">
        <v>47849</v>
      </c>
      <c r="D57" s="291">
        <f>E57</f>
        <v>352267238</v>
      </c>
      <c r="E57" s="290">
        <v>352267238</v>
      </c>
      <c r="G57" s="256"/>
      <c r="H57" s="256"/>
      <c r="I57" s="256"/>
      <c r="J57" s="256"/>
      <c r="K57" s="256"/>
      <c r="L57" s="256"/>
      <c r="M57" s="256"/>
      <c r="N57" s="256"/>
      <c r="O57" s="256"/>
    </row>
    <row r="58" spans="1:15" s="259" customFormat="1" x14ac:dyDescent="0.25">
      <c r="A58" s="258" t="s">
        <v>396</v>
      </c>
      <c r="B58" s="257" t="s">
        <v>397</v>
      </c>
      <c r="C58" s="263" t="s">
        <v>313</v>
      </c>
      <c r="D58" s="291">
        <f>E58</f>
        <v>251460</v>
      </c>
      <c r="E58" s="290">
        <v>251460</v>
      </c>
      <c r="G58" s="260"/>
      <c r="H58" s="260"/>
      <c r="I58" s="260"/>
      <c r="J58" s="260"/>
      <c r="K58" s="260"/>
      <c r="L58" s="260"/>
      <c r="M58" s="260"/>
      <c r="N58" s="260"/>
      <c r="O58" s="260"/>
    </row>
    <row r="59" spans="1:15" s="259" customFormat="1" x14ac:dyDescent="0.25">
      <c r="A59" s="258" t="s">
        <v>398</v>
      </c>
      <c r="B59" s="292" t="s">
        <v>399</v>
      </c>
      <c r="C59" s="293" t="s">
        <v>313</v>
      </c>
      <c r="D59" s="264">
        <f>E59*2</f>
        <v>157098614</v>
      </c>
      <c r="E59" s="290">
        <f>78530833+18474</f>
        <v>78549307</v>
      </c>
      <c r="G59" s="260"/>
      <c r="H59" s="260"/>
      <c r="I59" s="260"/>
      <c r="J59" s="260"/>
      <c r="K59" s="260"/>
      <c r="L59" s="260"/>
      <c r="M59" s="260"/>
      <c r="N59" s="260"/>
      <c r="O59" s="260"/>
    </row>
    <row r="60" spans="1:15" s="259" customFormat="1" x14ac:dyDescent="0.25">
      <c r="A60" s="258" t="s">
        <v>400</v>
      </c>
      <c r="B60" s="292" t="s">
        <v>401</v>
      </c>
      <c r="C60" s="293" t="s">
        <v>313</v>
      </c>
      <c r="D60" s="264">
        <f>E60*2.5</f>
        <v>74191480</v>
      </c>
      <c r="E60" s="265">
        <v>29676592</v>
      </c>
      <c r="G60" s="260"/>
      <c r="H60" s="260"/>
      <c r="I60" s="260"/>
      <c r="J60" s="260"/>
      <c r="K60" s="260"/>
      <c r="L60" s="260"/>
      <c r="M60" s="260"/>
      <c r="N60" s="260"/>
      <c r="O60" s="260"/>
    </row>
    <row r="61" spans="1:15" s="259" customFormat="1" x14ac:dyDescent="0.25">
      <c r="A61" s="261" t="s">
        <v>402</v>
      </c>
      <c r="B61" s="262" t="s">
        <v>403</v>
      </c>
      <c r="C61" s="263" t="s">
        <v>313</v>
      </c>
      <c r="D61" s="264">
        <f>E61</f>
        <v>4328500</v>
      </c>
      <c r="E61" s="265">
        <f>2178500+2695000-450000-95000</f>
        <v>4328500</v>
      </c>
      <c r="G61" s="260"/>
      <c r="H61" s="260"/>
      <c r="I61" s="260"/>
      <c r="J61" s="260"/>
      <c r="K61" s="260"/>
      <c r="L61" s="260"/>
      <c r="M61" s="260"/>
      <c r="N61" s="260"/>
      <c r="O61" s="260"/>
    </row>
    <row r="62" spans="1:15" s="259" customFormat="1" x14ac:dyDescent="0.25">
      <c r="A62" s="261" t="s">
        <v>404</v>
      </c>
      <c r="B62" s="262" t="s">
        <v>405</v>
      </c>
      <c r="C62" s="263">
        <v>45046</v>
      </c>
      <c r="D62" s="264">
        <f>4*1540370</f>
        <v>6161480</v>
      </c>
      <c r="E62" s="265">
        <v>17206830</v>
      </c>
      <c r="G62" s="260"/>
      <c r="H62" s="260"/>
      <c r="I62" s="260"/>
      <c r="J62" s="260"/>
      <c r="K62" s="260"/>
      <c r="L62" s="260"/>
      <c r="M62" s="260"/>
      <c r="N62" s="260"/>
      <c r="O62" s="260"/>
    </row>
    <row r="63" spans="1:15" s="259" customFormat="1" ht="26.4" x14ac:dyDescent="0.25">
      <c r="A63" s="261" t="s">
        <v>406</v>
      </c>
      <c r="B63" s="271" t="s">
        <v>407</v>
      </c>
      <c r="C63" s="263">
        <v>45360</v>
      </c>
      <c r="D63" s="264">
        <f>700000*4</f>
        <v>2800000</v>
      </c>
      <c r="E63" s="265">
        <v>1599700</v>
      </c>
      <c r="G63" s="260"/>
      <c r="H63" s="260"/>
      <c r="I63" s="260"/>
      <c r="J63" s="260"/>
      <c r="K63" s="260"/>
      <c r="L63" s="260"/>
      <c r="M63" s="260"/>
      <c r="N63" s="260"/>
      <c r="O63" s="260"/>
    </row>
    <row r="64" spans="1:15" s="259" customFormat="1" ht="26.4" x14ac:dyDescent="0.25">
      <c r="A64" s="261" t="s">
        <v>408</v>
      </c>
      <c r="B64" s="271" t="s">
        <v>409</v>
      </c>
      <c r="C64" s="263" t="s">
        <v>410</v>
      </c>
      <c r="D64" s="264">
        <v>1102043</v>
      </c>
      <c r="E64" s="265">
        <v>6244908</v>
      </c>
      <c r="G64" s="260"/>
      <c r="H64" s="260"/>
      <c r="I64" s="260"/>
      <c r="J64" s="260"/>
      <c r="K64" s="260"/>
      <c r="L64" s="260"/>
      <c r="M64" s="260"/>
      <c r="N64" s="260"/>
      <c r="O64" s="260"/>
    </row>
    <row r="65" spans="1:15" s="250" customFormat="1" x14ac:dyDescent="0.25">
      <c r="A65" s="261" t="s">
        <v>411</v>
      </c>
      <c r="B65" s="271" t="s">
        <v>412</v>
      </c>
      <c r="C65" s="263" t="s">
        <v>413</v>
      </c>
      <c r="D65" s="264">
        <v>390000</v>
      </c>
      <c r="E65" s="265">
        <v>0</v>
      </c>
      <c r="G65" s="294"/>
      <c r="H65" s="256"/>
      <c r="I65" s="256"/>
      <c r="J65" s="256"/>
      <c r="K65" s="256"/>
      <c r="L65" s="256"/>
      <c r="M65" s="256"/>
      <c r="N65" s="256"/>
      <c r="O65" s="256"/>
    </row>
    <row r="66" spans="1:15" s="250" customFormat="1" x14ac:dyDescent="0.25">
      <c r="A66" s="258" t="s">
        <v>414</v>
      </c>
      <c r="B66" s="257" t="s">
        <v>415</v>
      </c>
      <c r="C66" s="263">
        <v>44712</v>
      </c>
      <c r="D66" s="276">
        <v>500000</v>
      </c>
      <c r="E66" s="265">
        <v>0</v>
      </c>
      <c r="G66" s="256"/>
      <c r="H66" s="256"/>
      <c r="I66" s="256"/>
      <c r="J66" s="256"/>
      <c r="K66" s="256"/>
      <c r="L66" s="256"/>
      <c r="M66" s="256"/>
      <c r="N66" s="256"/>
      <c r="O66" s="256"/>
    </row>
    <row r="67" spans="1:15" s="259" customFormat="1" x14ac:dyDescent="0.25">
      <c r="A67" s="261" t="s">
        <v>416</v>
      </c>
      <c r="B67" s="295" t="s">
        <v>417</v>
      </c>
      <c r="C67" s="263" t="s">
        <v>418</v>
      </c>
      <c r="D67" s="264">
        <f>(5700000*1.27)-E67</f>
        <v>2794000</v>
      </c>
      <c r="E67" s="265">
        <v>4445000</v>
      </c>
      <c r="G67" s="296"/>
      <c r="H67" s="260"/>
      <c r="I67" s="260"/>
      <c r="J67" s="260"/>
      <c r="K67" s="260"/>
      <c r="L67" s="260"/>
      <c r="M67" s="260"/>
      <c r="N67" s="260"/>
      <c r="O67" s="260"/>
    </row>
    <row r="68" spans="1:15" s="259" customFormat="1" x14ac:dyDescent="0.25">
      <c r="A68" s="297" t="s">
        <v>419</v>
      </c>
      <c r="B68" s="295" t="s">
        <v>420</v>
      </c>
      <c r="C68" s="263">
        <v>44985</v>
      </c>
      <c r="D68" s="264">
        <f>2*1500000</f>
        <v>3000000</v>
      </c>
      <c r="E68" s="265">
        <f>4*1500000</f>
        <v>6000000</v>
      </c>
      <c r="G68" s="296"/>
      <c r="H68" s="260"/>
      <c r="I68" s="260"/>
      <c r="J68" s="260"/>
      <c r="K68" s="260"/>
      <c r="L68" s="260"/>
      <c r="M68" s="260"/>
      <c r="N68" s="260"/>
      <c r="O68" s="260"/>
    </row>
    <row r="69" spans="1:15" s="259" customFormat="1" x14ac:dyDescent="0.25">
      <c r="A69" s="258" t="s">
        <v>421</v>
      </c>
      <c r="B69" s="298" t="s">
        <v>422</v>
      </c>
      <c r="C69" s="293" t="s">
        <v>313</v>
      </c>
      <c r="D69" s="264">
        <f>E69</f>
        <v>362025</v>
      </c>
      <c r="E69" s="265">
        <v>362025</v>
      </c>
      <c r="G69" s="260"/>
      <c r="H69" s="260"/>
      <c r="I69" s="260"/>
      <c r="J69" s="260"/>
      <c r="K69" s="260"/>
      <c r="L69" s="260"/>
      <c r="M69" s="260"/>
      <c r="N69" s="260"/>
      <c r="O69" s="260"/>
    </row>
    <row r="70" spans="1:15" s="259" customFormat="1" x14ac:dyDescent="0.25">
      <c r="A70" s="258" t="s">
        <v>421</v>
      </c>
      <c r="B70" s="298" t="s">
        <v>423</v>
      </c>
      <c r="C70" s="293" t="s">
        <v>313</v>
      </c>
      <c r="D70" s="264">
        <f>E70</f>
        <v>337099</v>
      </c>
      <c r="E70" s="265">
        <v>337099</v>
      </c>
      <c r="G70" s="260"/>
      <c r="H70" s="260"/>
      <c r="I70" s="260"/>
      <c r="J70" s="260"/>
      <c r="K70" s="260"/>
      <c r="L70" s="260"/>
      <c r="M70" s="260"/>
      <c r="N70" s="260"/>
      <c r="O70" s="260"/>
    </row>
    <row r="71" spans="1:15" s="259" customFormat="1" x14ac:dyDescent="0.25">
      <c r="A71" s="258" t="s">
        <v>424</v>
      </c>
      <c r="B71" s="298" t="s">
        <v>425</v>
      </c>
      <c r="C71" s="293" t="s">
        <v>313</v>
      </c>
      <c r="D71" s="264">
        <f>E71</f>
        <v>677685</v>
      </c>
      <c r="E71" s="265">
        <v>677685</v>
      </c>
      <c r="G71" s="260"/>
      <c r="H71" s="260"/>
      <c r="I71" s="260"/>
      <c r="J71" s="260"/>
      <c r="K71" s="260"/>
      <c r="L71" s="260"/>
      <c r="M71" s="260"/>
      <c r="N71" s="260"/>
      <c r="O71" s="260"/>
    </row>
    <row r="72" spans="1:15" s="259" customFormat="1" x14ac:dyDescent="0.25">
      <c r="A72" s="258" t="s">
        <v>426</v>
      </c>
      <c r="B72" s="292" t="s">
        <v>427</v>
      </c>
      <c r="C72" s="293" t="s">
        <v>313</v>
      </c>
      <c r="D72" s="264">
        <f>4*4500</f>
        <v>18000</v>
      </c>
      <c r="E72" s="265">
        <v>18000</v>
      </c>
      <c r="G72" s="260"/>
      <c r="H72" s="260"/>
      <c r="I72" s="260"/>
      <c r="J72" s="260"/>
      <c r="K72" s="260"/>
      <c r="L72" s="260"/>
      <c r="M72" s="260"/>
      <c r="N72" s="260"/>
      <c r="O72" s="260"/>
    </row>
    <row r="73" spans="1:15" s="259" customFormat="1" ht="26.4" x14ac:dyDescent="0.25">
      <c r="A73" s="299" t="s">
        <v>428</v>
      </c>
      <c r="B73" s="298" t="s">
        <v>429</v>
      </c>
      <c r="C73" s="293">
        <v>44986</v>
      </c>
      <c r="D73" s="264">
        <v>8750330</v>
      </c>
      <c r="E73" s="265">
        <v>0</v>
      </c>
      <c r="G73" s="260"/>
      <c r="H73" s="260"/>
      <c r="I73" s="260"/>
      <c r="J73" s="260"/>
      <c r="K73" s="260"/>
      <c r="L73" s="260"/>
      <c r="M73" s="260"/>
      <c r="N73" s="260"/>
      <c r="O73" s="260"/>
    </row>
    <row r="74" spans="1:15" s="259" customFormat="1" x14ac:dyDescent="0.25">
      <c r="A74" s="299" t="s">
        <v>428</v>
      </c>
      <c r="B74" s="257" t="s">
        <v>430</v>
      </c>
      <c r="C74" s="293" t="s">
        <v>431</v>
      </c>
      <c r="D74" s="264">
        <f>160020000-E74</f>
        <v>96012000</v>
      </c>
      <c r="E74" s="265">
        <v>64008000</v>
      </c>
      <c r="G74" s="260"/>
      <c r="H74" s="260"/>
      <c r="I74" s="260"/>
      <c r="J74" s="260"/>
      <c r="K74" s="260"/>
      <c r="L74" s="260"/>
      <c r="M74" s="260"/>
      <c r="N74" s="260"/>
      <c r="O74" s="260"/>
    </row>
    <row r="75" spans="1:15" s="250" customFormat="1" x14ac:dyDescent="0.25">
      <c r="A75" s="258" t="s">
        <v>432</v>
      </c>
      <c r="B75" s="292" t="s">
        <v>433</v>
      </c>
      <c r="C75" s="293">
        <v>44630</v>
      </c>
      <c r="D75" s="264">
        <v>0</v>
      </c>
      <c r="E75" s="265">
        <v>130000</v>
      </c>
      <c r="G75" s="256"/>
      <c r="H75" s="256"/>
      <c r="I75" s="256"/>
      <c r="J75" s="256"/>
      <c r="K75" s="256"/>
      <c r="L75" s="256"/>
      <c r="M75" s="256"/>
      <c r="N75" s="256"/>
      <c r="O75" s="256"/>
    </row>
    <row r="76" spans="1:15" s="250" customFormat="1" ht="26.4" x14ac:dyDescent="0.25">
      <c r="A76" s="258" t="s">
        <v>434</v>
      </c>
      <c r="B76" s="295" t="s">
        <v>435</v>
      </c>
      <c r="C76" s="293" t="s">
        <v>436</v>
      </c>
      <c r="D76" s="264">
        <v>3000000</v>
      </c>
      <c r="E76" s="265">
        <v>0</v>
      </c>
      <c r="G76" s="256"/>
      <c r="H76" s="256"/>
      <c r="I76" s="256"/>
      <c r="J76" s="256"/>
      <c r="K76" s="256"/>
      <c r="L76" s="256"/>
      <c r="M76" s="256"/>
      <c r="N76" s="256"/>
      <c r="O76" s="256"/>
    </row>
    <row r="77" spans="1:15" s="250" customFormat="1" ht="26.4" x14ac:dyDescent="0.25">
      <c r="A77" s="258" t="s">
        <v>434</v>
      </c>
      <c r="B77" s="295" t="s">
        <v>437</v>
      </c>
      <c r="C77" s="293" t="s">
        <v>436</v>
      </c>
      <c r="D77" s="264">
        <v>3000000</v>
      </c>
      <c r="E77" s="265">
        <v>0</v>
      </c>
      <c r="G77" s="256"/>
      <c r="H77" s="256"/>
      <c r="I77" s="256"/>
      <c r="J77" s="256"/>
      <c r="K77" s="256"/>
      <c r="L77" s="256"/>
      <c r="M77" s="256"/>
      <c r="N77" s="256"/>
      <c r="O77" s="256"/>
    </row>
    <row r="78" spans="1:15" s="250" customFormat="1" ht="26.4" x14ac:dyDescent="0.25">
      <c r="A78" s="258" t="s">
        <v>434</v>
      </c>
      <c r="B78" s="295" t="s">
        <v>438</v>
      </c>
      <c r="C78" s="293" t="s">
        <v>436</v>
      </c>
      <c r="D78" s="264">
        <v>3000000</v>
      </c>
      <c r="E78" s="265">
        <v>0</v>
      </c>
      <c r="G78" s="256"/>
      <c r="H78" s="256"/>
      <c r="I78" s="256"/>
      <c r="J78" s="256"/>
      <c r="K78" s="256"/>
      <c r="L78" s="256"/>
      <c r="M78" s="256"/>
      <c r="N78" s="256"/>
      <c r="O78" s="256"/>
    </row>
    <row r="79" spans="1:15" s="250" customFormat="1" ht="26.4" x14ac:dyDescent="0.25">
      <c r="A79" s="258" t="s">
        <v>439</v>
      </c>
      <c r="B79" s="295" t="s">
        <v>440</v>
      </c>
      <c r="C79" s="293" t="s">
        <v>441</v>
      </c>
      <c r="D79" s="264">
        <f>1700000+350000-E79</f>
        <v>350000</v>
      </c>
      <c r="E79" s="265">
        <v>1700000</v>
      </c>
      <c r="G79" s="256"/>
      <c r="H79" s="256"/>
      <c r="I79" s="256"/>
      <c r="J79" s="256"/>
      <c r="K79" s="256"/>
      <c r="L79" s="256"/>
      <c r="M79" s="256"/>
      <c r="N79" s="256"/>
      <c r="O79" s="256"/>
    </row>
    <row r="80" spans="1:15" s="259" customFormat="1" x14ac:dyDescent="0.25">
      <c r="A80" s="300" t="s">
        <v>442</v>
      </c>
      <c r="B80" s="257" t="s">
        <v>443</v>
      </c>
      <c r="C80" s="293" t="s">
        <v>313</v>
      </c>
      <c r="D80" s="264">
        <v>2700000</v>
      </c>
      <c r="E80" s="265">
        <v>2923950</v>
      </c>
      <c r="G80" s="260"/>
      <c r="H80" s="260"/>
      <c r="I80" s="260"/>
      <c r="J80" s="260"/>
      <c r="K80" s="260"/>
      <c r="L80" s="260"/>
      <c r="M80" s="260"/>
      <c r="N80" s="260"/>
      <c r="O80" s="260"/>
    </row>
    <row r="81" spans="1:15" s="259" customFormat="1" x14ac:dyDescent="0.25">
      <c r="A81" s="300" t="s">
        <v>442</v>
      </c>
      <c r="B81" s="257" t="s">
        <v>444</v>
      </c>
      <c r="C81" s="293" t="s">
        <v>313</v>
      </c>
      <c r="D81" s="264">
        <v>6400800</v>
      </c>
      <c r="E81" s="265">
        <v>3403600</v>
      </c>
      <c r="G81" s="260"/>
      <c r="H81" s="260"/>
      <c r="I81" s="260"/>
      <c r="J81" s="260"/>
      <c r="K81" s="260"/>
      <c r="L81" s="260"/>
      <c r="M81" s="260"/>
      <c r="N81" s="260"/>
      <c r="O81" s="260"/>
    </row>
    <row r="82" spans="1:15" s="250" customFormat="1" x14ac:dyDescent="0.25">
      <c r="A82" s="300" t="s">
        <v>442</v>
      </c>
      <c r="B82" s="257" t="s">
        <v>445</v>
      </c>
      <c r="C82" s="293" t="s">
        <v>313</v>
      </c>
      <c r="D82" s="264">
        <f>240000*2</f>
        <v>480000</v>
      </c>
      <c r="E82" s="265">
        <v>480000</v>
      </c>
      <c r="G82" s="256"/>
      <c r="H82" s="256"/>
      <c r="I82" s="256"/>
      <c r="J82" s="256"/>
      <c r="K82" s="256"/>
      <c r="L82" s="256"/>
      <c r="M82" s="256"/>
      <c r="N82" s="256"/>
      <c r="O82" s="256"/>
    </row>
    <row r="83" spans="1:15" s="259" customFormat="1" x14ac:dyDescent="0.25">
      <c r="A83" s="258" t="s">
        <v>446</v>
      </c>
      <c r="B83" s="292" t="s">
        <v>447</v>
      </c>
      <c r="C83" s="293" t="s">
        <v>313</v>
      </c>
      <c r="D83" s="264">
        <f>25400*12</f>
        <v>304800</v>
      </c>
      <c r="E83" s="265">
        <f>25400*12</f>
        <v>304800</v>
      </c>
      <c r="G83" s="260"/>
      <c r="H83" s="260"/>
      <c r="I83" s="260"/>
      <c r="J83" s="260"/>
      <c r="K83" s="260"/>
      <c r="L83" s="260"/>
      <c r="M83" s="260"/>
      <c r="N83" s="260"/>
      <c r="O83" s="260"/>
    </row>
    <row r="84" spans="1:15" s="250" customFormat="1" x14ac:dyDescent="0.25">
      <c r="A84" s="301" t="s">
        <v>448</v>
      </c>
      <c r="B84" s="302" t="s">
        <v>449</v>
      </c>
      <c r="C84" s="293" t="s">
        <v>313</v>
      </c>
      <c r="D84" s="303">
        <v>78210</v>
      </c>
      <c r="E84" s="287">
        <v>0</v>
      </c>
      <c r="G84" s="256"/>
      <c r="H84" s="256"/>
      <c r="I84" s="256"/>
      <c r="J84" s="256"/>
      <c r="K84" s="256"/>
      <c r="L84" s="256"/>
      <c r="M84" s="256"/>
      <c r="N84" s="256"/>
      <c r="O84" s="256"/>
    </row>
    <row r="85" spans="1:15" s="250" customFormat="1" ht="26.4" x14ac:dyDescent="0.25">
      <c r="A85" s="301" t="s">
        <v>450</v>
      </c>
      <c r="B85" s="295" t="s">
        <v>451</v>
      </c>
      <c r="C85" s="293" t="s">
        <v>452</v>
      </c>
      <c r="D85" s="303">
        <f>280171453*1.27</f>
        <v>355817745.31</v>
      </c>
      <c r="E85" s="287">
        <v>0</v>
      </c>
      <c r="G85" s="256"/>
      <c r="H85" s="256"/>
      <c r="I85" s="256"/>
      <c r="J85" s="256"/>
      <c r="K85" s="256"/>
      <c r="L85" s="256"/>
      <c r="M85" s="256"/>
      <c r="N85" s="256"/>
      <c r="O85" s="256"/>
    </row>
    <row r="86" spans="1:15" s="250" customFormat="1" ht="26.4" x14ac:dyDescent="0.25">
      <c r="A86" s="301" t="s">
        <v>450</v>
      </c>
      <c r="B86" s="295" t="s">
        <v>453</v>
      </c>
      <c r="C86" s="293" t="s">
        <v>454</v>
      </c>
      <c r="D86" s="303">
        <f>142041835*1.27</f>
        <v>180393130.44999999</v>
      </c>
      <c r="E86" s="287">
        <v>0</v>
      </c>
      <c r="G86" s="256"/>
      <c r="H86" s="256"/>
      <c r="I86" s="256"/>
      <c r="J86" s="256"/>
      <c r="K86" s="256"/>
      <c r="L86" s="256"/>
      <c r="M86" s="256"/>
      <c r="N86" s="256"/>
      <c r="O86" s="256"/>
    </row>
    <row r="87" spans="1:15" s="250" customFormat="1" ht="26.4" x14ac:dyDescent="0.25">
      <c r="A87" s="301" t="s">
        <v>455</v>
      </c>
      <c r="B87" s="295" t="s">
        <v>456</v>
      </c>
      <c r="C87" s="293" t="s">
        <v>339</v>
      </c>
      <c r="D87" s="303">
        <f>1570000*1.27</f>
        <v>1993900</v>
      </c>
      <c r="E87" s="287">
        <v>0</v>
      </c>
      <c r="G87" s="256"/>
      <c r="H87" s="256"/>
      <c r="I87" s="256"/>
      <c r="J87" s="256"/>
      <c r="K87" s="256"/>
      <c r="L87" s="256"/>
      <c r="M87" s="256"/>
      <c r="N87" s="256"/>
      <c r="O87" s="256"/>
    </row>
    <row r="88" spans="1:15" s="259" customFormat="1" ht="39.6" x14ac:dyDescent="0.25">
      <c r="A88" s="301" t="s">
        <v>455</v>
      </c>
      <c r="B88" s="295" t="s">
        <v>457</v>
      </c>
      <c r="C88" s="293" t="s">
        <v>339</v>
      </c>
      <c r="D88" s="303">
        <v>2514600</v>
      </c>
      <c r="E88" s="287">
        <v>0</v>
      </c>
      <c r="G88" s="260"/>
      <c r="H88" s="260"/>
      <c r="I88" s="260"/>
      <c r="J88" s="260"/>
      <c r="K88" s="260"/>
      <c r="L88" s="260"/>
      <c r="M88" s="260"/>
      <c r="N88" s="260"/>
      <c r="O88" s="260"/>
    </row>
    <row r="89" spans="1:15" s="259" customFormat="1" x14ac:dyDescent="0.25">
      <c r="A89" s="301" t="s">
        <v>455</v>
      </c>
      <c r="B89" s="295" t="s">
        <v>458</v>
      </c>
      <c r="C89" s="293" t="s">
        <v>339</v>
      </c>
      <c r="D89" s="303">
        <f>2800000*1.27</f>
        <v>3556000</v>
      </c>
      <c r="E89" s="287">
        <v>0</v>
      </c>
      <c r="G89" s="260"/>
      <c r="H89" s="260"/>
      <c r="I89" s="260"/>
      <c r="J89" s="260"/>
      <c r="K89" s="260"/>
      <c r="L89" s="260"/>
      <c r="M89" s="260"/>
      <c r="N89" s="260"/>
      <c r="O89" s="260"/>
    </row>
    <row r="90" spans="1:15" s="250" customFormat="1" x14ac:dyDescent="0.25">
      <c r="A90" s="258" t="s">
        <v>459</v>
      </c>
      <c r="B90" s="292" t="s">
        <v>460</v>
      </c>
      <c r="C90" s="293" t="s">
        <v>313</v>
      </c>
      <c r="D90" s="264">
        <f>E90</f>
        <v>159646</v>
      </c>
      <c r="E90" s="265">
        <f>33996+125650</f>
        <v>159646</v>
      </c>
      <c r="G90" s="256"/>
      <c r="H90" s="256"/>
      <c r="I90" s="256"/>
      <c r="J90" s="256"/>
      <c r="K90" s="256"/>
      <c r="L90" s="256"/>
      <c r="M90" s="256"/>
      <c r="N90" s="256"/>
      <c r="O90" s="256"/>
    </row>
    <row r="91" spans="1:15" s="250" customFormat="1" x14ac:dyDescent="0.25">
      <c r="A91" s="258" t="s">
        <v>461</v>
      </c>
      <c r="B91" s="292" t="s">
        <v>462</v>
      </c>
      <c r="C91" s="293">
        <v>43738</v>
      </c>
      <c r="D91" s="264">
        <v>523875</v>
      </c>
      <c r="E91" s="265">
        <v>0</v>
      </c>
      <c r="G91" s="256"/>
      <c r="H91" s="256"/>
      <c r="I91" s="256"/>
      <c r="J91" s="256"/>
      <c r="K91" s="256"/>
      <c r="L91" s="256"/>
      <c r="M91" s="256"/>
      <c r="N91" s="256"/>
      <c r="O91" s="256"/>
    </row>
    <row r="92" spans="1:15" s="250" customFormat="1" ht="26.4" x14ac:dyDescent="0.25">
      <c r="A92" s="261" t="s">
        <v>463</v>
      </c>
      <c r="B92" s="272" t="s">
        <v>464</v>
      </c>
      <c r="C92" s="275" t="s">
        <v>313</v>
      </c>
      <c r="D92" s="264">
        <f>6383*12</f>
        <v>76596</v>
      </c>
      <c r="E92" s="265">
        <v>76622</v>
      </c>
      <c r="G92" s="256"/>
      <c r="H92" s="256"/>
      <c r="I92" s="256"/>
      <c r="J92" s="256"/>
      <c r="K92" s="256"/>
      <c r="L92" s="256"/>
      <c r="M92" s="256"/>
      <c r="N92" s="256"/>
      <c r="O92" s="256"/>
    </row>
    <row r="93" spans="1:15" s="250" customFormat="1" x14ac:dyDescent="0.25">
      <c r="A93" s="261" t="s">
        <v>465</v>
      </c>
      <c r="B93" s="262" t="s">
        <v>466</v>
      </c>
      <c r="C93" s="275" t="s">
        <v>313</v>
      </c>
      <c r="D93" s="264">
        <f>E93</f>
        <v>3090240</v>
      </c>
      <c r="E93" s="265">
        <v>3090240</v>
      </c>
      <c r="G93" s="256"/>
      <c r="H93" s="256"/>
      <c r="I93" s="256"/>
      <c r="J93" s="256"/>
      <c r="K93" s="256"/>
      <c r="L93" s="256"/>
      <c r="M93" s="256"/>
      <c r="N93" s="256"/>
      <c r="O93" s="256"/>
    </row>
    <row r="94" spans="1:15" s="250" customFormat="1" x14ac:dyDescent="0.25">
      <c r="A94" s="258" t="s">
        <v>467</v>
      </c>
      <c r="B94" s="262" t="s">
        <v>468</v>
      </c>
      <c r="C94" s="263" t="s">
        <v>323</v>
      </c>
      <c r="D94" s="264">
        <v>762000</v>
      </c>
      <c r="E94" s="265">
        <v>762000</v>
      </c>
      <c r="G94" s="256"/>
      <c r="H94" s="256"/>
      <c r="I94" s="256"/>
      <c r="J94" s="256"/>
      <c r="K94" s="256"/>
      <c r="L94" s="256"/>
      <c r="M94" s="256"/>
      <c r="N94" s="256"/>
      <c r="O94" s="256"/>
    </row>
    <row r="95" spans="1:15" s="259" customFormat="1" ht="13.8" x14ac:dyDescent="0.3">
      <c r="A95" s="258" t="s">
        <v>469</v>
      </c>
      <c r="B95" s="257" t="s">
        <v>470</v>
      </c>
      <c r="C95" s="263" t="s">
        <v>313</v>
      </c>
      <c r="D95" s="264">
        <f>E95</f>
        <v>440362</v>
      </c>
      <c r="E95" s="265">
        <v>440362</v>
      </c>
      <c r="G95" s="260"/>
      <c r="H95" s="260"/>
      <c r="I95" s="260"/>
      <c r="J95" s="260"/>
      <c r="K95" s="286"/>
      <c r="L95" s="260"/>
      <c r="M95" s="260"/>
      <c r="N95" s="260"/>
      <c r="O95" s="260"/>
    </row>
    <row r="96" spans="1:15" s="259" customFormat="1" x14ac:dyDescent="0.25">
      <c r="A96" s="261" t="s">
        <v>471</v>
      </c>
      <c r="B96" s="262" t="s">
        <v>472</v>
      </c>
      <c r="C96" s="275" t="s">
        <v>313</v>
      </c>
      <c r="D96" s="264">
        <v>360680</v>
      </c>
      <c r="E96" s="265">
        <v>411124</v>
      </c>
      <c r="G96" s="260"/>
      <c r="H96" s="260"/>
      <c r="I96" s="260"/>
      <c r="J96" s="260"/>
      <c r="K96" s="260"/>
      <c r="L96" s="260"/>
      <c r="M96" s="260"/>
      <c r="N96" s="260"/>
      <c r="O96" s="260"/>
    </row>
    <row r="97" spans="1:15" s="259" customFormat="1" x14ac:dyDescent="0.25">
      <c r="A97" s="261" t="s">
        <v>473</v>
      </c>
      <c r="B97" s="262" t="s">
        <v>368</v>
      </c>
      <c r="C97" s="275" t="s">
        <v>313</v>
      </c>
      <c r="D97" s="264">
        <f>E97</f>
        <v>229600</v>
      </c>
      <c r="E97" s="265">
        <v>229600</v>
      </c>
      <c r="G97" s="260"/>
      <c r="H97" s="260"/>
      <c r="I97" s="260"/>
      <c r="J97" s="260"/>
      <c r="K97" s="260"/>
      <c r="L97" s="260"/>
      <c r="M97" s="260"/>
      <c r="N97" s="260"/>
      <c r="O97" s="260"/>
    </row>
    <row r="98" spans="1:15" s="250" customFormat="1" x14ac:dyDescent="0.25">
      <c r="A98" s="261" t="s">
        <v>474</v>
      </c>
      <c r="B98" s="262" t="s">
        <v>475</v>
      </c>
      <c r="C98" s="275" t="s">
        <v>313</v>
      </c>
      <c r="D98" s="264">
        <f>1905*12</f>
        <v>22860</v>
      </c>
      <c r="E98" s="265">
        <v>23051</v>
      </c>
      <c r="G98" s="256"/>
      <c r="H98" s="256"/>
      <c r="I98" s="256"/>
      <c r="J98" s="256"/>
      <c r="K98" s="256"/>
      <c r="L98" s="256"/>
      <c r="M98" s="256"/>
      <c r="N98" s="256"/>
      <c r="O98" s="256"/>
    </row>
    <row r="99" spans="1:15" s="259" customFormat="1" ht="26.4" x14ac:dyDescent="0.25">
      <c r="A99" s="261" t="s">
        <v>476</v>
      </c>
      <c r="B99" s="272" t="s">
        <v>477</v>
      </c>
      <c r="C99" s="263" t="s">
        <v>313</v>
      </c>
      <c r="D99" s="264">
        <f>(1250000*1.27)*2</f>
        <v>3175000</v>
      </c>
      <c r="E99" s="265">
        <v>3175000</v>
      </c>
      <c r="G99" s="260"/>
      <c r="K99" s="260"/>
      <c r="L99" s="260"/>
      <c r="M99" s="260"/>
      <c r="N99" s="260"/>
      <c r="O99" s="260"/>
    </row>
    <row r="100" spans="1:15" s="259" customFormat="1" ht="26.4" x14ac:dyDescent="0.25">
      <c r="A100" s="261" t="s">
        <v>476</v>
      </c>
      <c r="B100" s="272" t="s">
        <v>478</v>
      </c>
      <c r="C100" s="263">
        <v>44742</v>
      </c>
      <c r="D100" s="264">
        <f>2498400*1.27</f>
        <v>3172968</v>
      </c>
      <c r="E100" s="265">
        <v>0</v>
      </c>
      <c r="G100" s="260"/>
      <c r="K100" s="260"/>
      <c r="L100" s="260"/>
      <c r="M100" s="260"/>
      <c r="N100" s="260"/>
      <c r="O100" s="260"/>
    </row>
    <row r="101" spans="1:15" s="259" customFormat="1" x14ac:dyDescent="0.25">
      <c r="A101" s="258" t="s">
        <v>479</v>
      </c>
      <c r="B101" s="257" t="s">
        <v>480</v>
      </c>
      <c r="C101" s="263" t="s">
        <v>313</v>
      </c>
      <c r="D101" s="264">
        <f>E101</f>
        <v>2217437</v>
      </c>
      <c r="E101" s="265">
        <v>2217437</v>
      </c>
      <c r="G101" s="260"/>
      <c r="H101" s="260"/>
      <c r="I101" s="260"/>
      <c r="J101" s="260"/>
      <c r="K101" s="260"/>
      <c r="L101" s="260"/>
      <c r="M101" s="260"/>
      <c r="N101" s="260"/>
      <c r="O101" s="260"/>
    </row>
    <row r="102" spans="1:15" s="259" customFormat="1" ht="26.4" x14ac:dyDescent="0.25">
      <c r="A102" s="258" t="s">
        <v>481</v>
      </c>
      <c r="B102" s="272" t="s">
        <v>482</v>
      </c>
      <c r="C102" s="263">
        <v>45077</v>
      </c>
      <c r="D102" s="291">
        <f>5*48000</f>
        <v>240000</v>
      </c>
      <c r="E102" s="265">
        <v>1314000</v>
      </c>
      <c r="F102" s="304"/>
      <c r="G102" s="260"/>
      <c r="H102" s="260"/>
      <c r="I102" s="260"/>
      <c r="J102" s="260"/>
      <c r="K102" s="260"/>
      <c r="L102" s="260"/>
      <c r="M102" s="260"/>
      <c r="N102" s="260"/>
      <c r="O102" s="260"/>
    </row>
    <row r="103" spans="1:15" s="259" customFormat="1" ht="26.4" x14ac:dyDescent="0.25">
      <c r="A103" s="258" t="s">
        <v>481</v>
      </c>
      <c r="B103" s="272" t="s">
        <v>483</v>
      </c>
      <c r="C103" s="263">
        <v>45107</v>
      </c>
      <c r="D103" s="291">
        <f>64500*6</f>
        <v>387000</v>
      </c>
      <c r="E103" s="265">
        <v>1767900</v>
      </c>
      <c r="F103" s="304"/>
      <c r="G103" s="260"/>
      <c r="H103" s="260"/>
      <c r="I103" s="260"/>
      <c r="J103" s="260"/>
      <c r="K103" s="260"/>
      <c r="L103" s="260"/>
      <c r="M103" s="260"/>
      <c r="N103" s="260"/>
      <c r="O103" s="260"/>
    </row>
    <row r="104" spans="1:15" s="259" customFormat="1" ht="26.4" x14ac:dyDescent="0.25">
      <c r="A104" s="258" t="s">
        <v>481</v>
      </c>
      <c r="B104" s="272" t="s">
        <v>484</v>
      </c>
      <c r="C104" s="263">
        <v>45092</v>
      </c>
      <c r="D104" s="291">
        <f>101500*5.5</f>
        <v>558250</v>
      </c>
      <c r="E104" s="265">
        <v>2784100</v>
      </c>
      <c r="F104" s="304"/>
      <c r="G104" s="260"/>
      <c r="H104" s="260"/>
      <c r="I104" s="260"/>
      <c r="J104" s="260"/>
      <c r="K104" s="260"/>
      <c r="L104" s="260"/>
      <c r="M104" s="260"/>
      <c r="N104" s="260"/>
      <c r="O104" s="260"/>
    </row>
    <row r="105" spans="1:15" s="259" customFormat="1" x14ac:dyDescent="0.25">
      <c r="A105" s="261" t="s">
        <v>485</v>
      </c>
      <c r="B105" s="278" t="s">
        <v>486</v>
      </c>
      <c r="C105" s="263" t="s">
        <v>313</v>
      </c>
      <c r="D105" s="291">
        <f>E105</f>
        <v>295000</v>
      </c>
      <c r="E105" s="265">
        <v>295000</v>
      </c>
      <c r="F105" s="304"/>
      <c r="G105" s="260"/>
      <c r="H105" s="260"/>
      <c r="I105" s="260"/>
      <c r="J105" s="260"/>
      <c r="K105" s="260"/>
      <c r="L105" s="260"/>
      <c r="M105" s="260"/>
      <c r="N105" s="260"/>
      <c r="O105" s="260"/>
    </row>
    <row r="106" spans="1:15" s="259" customFormat="1" ht="26.4" x14ac:dyDescent="0.25">
      <c r="A106" s="261" t="s">
        <v>487</v>
      </c>
      <c r="B106" s="305" t="s">
        <v>488</v>
      </c>
      <c r="C106" s="263" t="s">
        <v>313</v>
      </c>
      <c r="D106" s="264">
        <f>E106</f>
        <v>1657937</v>
      </c>
      <c r="E106" s="265">
        <f>14307+577025+60696+227001+572250+10404+196254</f>
        <v>1657937</v>
      </c>
      <c r="G106" s="260"/>
      <c r="H106" s="260"/>
      <c r="I106" s="260"/>
      <c r="J106" s="260"/>
      <c r="K106" s="260"/>
      <c r="L106" s="260"/>
      <c r="M106" s="260"/>
      <c r="N106" s="260"/>
      <c r="O106" s="260"/>
    </row>
    <row r="107" spans="1:15" s="259" customFormat="1" x14ac:dyDescent="0.25">
      <c r="A107" s="261" t="s">
        <v>489</v>
      </c>
      <c r="B107" s="278" t="s">
        <v>490</v>
      </c>
      <c r="C107" s="263" t="s">
        <v>313</v>
      </c>
      <c r="D107" s="264">
        <f>E107*2</f>
        <v>22472</v>
      </c>
      <c r="E107" s="265">
        <v>11236</v>
      </c>
      <c r="G107" s="260"/>
      <c r="H107" s="260"/>
      <c r="I107" s="260"/>
      <c r="J107" s="260"/>
      <c r="K107" s="260"/>
      <c r="L107" s="260"/>
      <c r="M107" s="260"/>
      <c r="N107" s="260"/>
      <c r="O107" s="260"/>
    </row>
    <row r="108" spans="1:15" s="259" customFormat="1" x14ac:dyDescent="0.25">
      <c r="A108" s="261" t="s">
        <v>489</v>
      </c>
      <c r="B108" s="278" t="s">
        <v>491</v>
      </c>
      <c r="C108" s="263" t="s">
        <v>313</v>
      </c>
      <c r="D108" s="264">
        <f>E108</f>
        <v>33954</v>
      </c>
      <c r="E108" s="265">
        <v>33954</v>
      </c>
      <c r="G108" s="260"/>
      <c r="H108" s="260"/>
      <c r="I108" s="260"/>
      <c r="J108" s="260"/>
      <c r="K108" s="260"/>
      <c r="L108" s="260"/>
      <c r="M108" s="260"/>
      <c r="N108" s="260"/>
      <c r="O108" s="260"/>
    </row>
    <row r="109" spans="1:15" s="259" customFormat="1" x14ac:dyDescent="0.25">
      <c r="A109" s="258" t="s">
        <v>492</v>
      </c>
      <c r="B109" s="257" t="s">
        <v>493</v>
      </c>
      <c r="C109" s="263" t="s">
        <v>313</v>
      </c>
      <c r="D109" s="264">
        <f>7900*12</f>
        <v>94800</v>
      </c>
      <c r="E109" s="265">
        <v>31600</v>
      </c>
      <c r="G109" s="260"/>
      <c r="H109" s="260"/>
      <c r="I109" s="260"/>
      <c r="J109" s="260"/>
      <c r="K109" s="260"/>
      <c r="L109" s="260"/>
      <c r="M109" s="260"/>
      <c r="N109" s="260"/>
      <c r="O109" s="260"/>
    </row>
    <row r="110" spans="1:15" s="259" customFormat="1" ht="26.4" x14ac:dyDescent="0.25">
      <c r="A110" s="261" t="s">
        <v>494</v>
      </c>
      <c r="B110" s="272" t="s">
        <v>495</v>
      </c>
      <c r="C110" s="263">
        <v>45199</v>
      </c>
      <c r="D110" s="264">
        <f>9*150000</f>
        <v>1350000</v>
      </c>
      <c r="E110" s="265">
        <f>(11*150000)+(2*125000)</f>
        <v>1900000</v>
      </c>
      <c r="G110" s="260"/>
      <c r="H110" s="260"/>
      <c r="I110" s="260"/>
      <c r="J110" s="260"/>
      <c r="K110" s="260"/>
      <c r="L110" s="260"/>
      <c r="M110" s="260"/>
      <c r="N110" s="260"/>
      <c r="O110" s="260"/>
    </row>
    <row r="111" spans="1:15" s="250" customFormat="1" x14ac:dyDescent="0.25">
      <c r="A111" s="261" t="s">
        <v>496</v>
      </c>
      <c r="B111" s="257" t="s">
        <v>497</v>
      </c>
      <c r="C111" s="263">
        <v>44749</v>
      </c>
      <c r="D111" s="264">
        <v>0</v>
      </c>
      <c r="E111" s="265">
        <v>262000</v>
      </c>
      <c r="G111" s="256"/>
      <c r="H111" s="256"/>
      <c r="I111" s="256"/>
      <c r="J111" s="256"/>
      <c r="K111" s="256"/>
      <c r="L111" s="256"/>
      <c r="M111" s="256"/>
      <c r="N111" s="256"/>
      <c r="O111" s="256"/>
    </row>
    <row r="112" spans="1:15" s="259" customFormat="1" x14ac:dyDescent="0.25">
      <c r="A112" s="261" t="s">
        <v>498</v>
      </c>
      <c r="B112" s="257" t="s">
        <v>499</v>
      </c>
      <c r="C112" s="263" t="s">
        <v>313</v>
      </c>
      <c r="D112" s="264">
        <f>E112</f>
        <v>134645</v>
      </c>
      <c r="E112" s="265">
        <f>70000+64645</f>
        <v>134645</v>
      </c>
      <c r="G112" s="260"/>
      <c r="H112" s="260"/>
      <c r="I112" s="260"/>
      <c r="J112" s="260"/>
      <c r="K112" s="260"/>
      <c r="L112" s="260"/>
      <c r="M112" s="260"/>
      <c r="N112" s="260"/>
      <c r="O112" s="260"/>
    </row>
    <row r="113" spans="1:15" s="250" customFormat="1" x14ac:dyDescent="0.25">
      <c r="A113" s="261" t="s">
        <v>500</v>
      </c>
      <c r="B113" s="278" t="s">
        <v>501</v>
      </c>
      <c r="C113" s="263">
        <v>45498</v>
      </c>
      <c r="D113" s="264">
        <f>E113+E111</f>
        <v>577000</v>
      </c>
      <c r="E113" s="265">
        <v>315000</v>
      </c>
      <c r="G113" s="256"/>
      <c r="H113" s="256"/>
      <c r="I113" s="256"/>
      <c r="J113" s="256"/>
      <c r="K113" s="256"/>
      <c r="L113" s="256"/>
      <c r="M113" s="256"/>
      <c r="N113" s="256"/>
      <c r="O113" s="256"/>
    </row>
    <row r="114" spans="1:15" s="259" customFormat="1" ht="13.8" x14ac:dyDescent="0.3">
      <c r="A114" s="266" t="s">
        <v>502</v>
      </c>
      <c r="B114" s="283" t="s">
        <v>346</v>
      </c>
      <c r="C114" s="268" t="s">
        <v>313</v>
      </c>
      <c r="D114" s="269">
        <f>E114</f>
        <v>130544</v>
      </c>
      <c r="E114" s="270">
        <v>130544</v>
      </c>
      <c r="G114" s="260"/>
      <c r="H114" s="260"/>
      <c r="I114" s="286"/>
      <c r="J114" s="260"/>
      <c r="K114" s="260"/>
      <c r="L114" s="260"/>
      <c r="M114" s="260"/>
      <c r="N114" s="260"/>
      <c r="O114" s="260"/>
    </row>
    <row r="115" spans="1:15" s="250" customFormat="1" x14ac:dyDescent="0.25">
      <c r="A115" s="277" t="s">
        <v>503</v>
      </c>
      <c r="B115" s="302" t="s">
        <v>504</v>
      </c>
      <c r="C115" s="293"/>
      <c r="D115" s="264">
        <v>13555340</v>
      </c>
      <c r="E115" s="290">
        <v>0</v>
      </c>
      <c r="G115" s="256"/>
      <c r="H115" s="256"/>
      <c r="I115" s="256"/>
      <c r="J115" s="256"/>
      <c r="K115" s="256"/>
      <c r="L115" s="256"/>
      <c r="M115" s="256"/>
      <c r="N115" s="256"/>
      <c r="O115" s="256"/>
    </row>
    <row r="116" spans="1:15" s="250" customFormat="1" ht="26.4" x14ac:dyDescent="0.25">
      <c r="A116" s="277" t="s">
        <v>505</v>
      </c>
      <c r="B116" s="295" t="s">
        <v>506</v>
      </c>
      <c r="C116" s="293" t="s">
        <v>507</v>
      </c>
      <c r="D116" s="264">
        <v>368300</v>
      </c>
      <c r="E116" s="290">
        <v>0</v>
      </c>
      <c r="G116" s="256"/>
      <c r="H116" s="256"/>
      <c r="I116" s="256"/>
      <c r="J116" s="256"/>
      <c r="K116" s="256"/>
      <c r="L116" s="256"/>
      <c r="M116" s="256"/>
      <c r="N116" s="256"/>
      <c r="O116" s="256"/>
    </row>
    <row r="117" spans="1:15" s="250" customFormat="1" x14ac:dyDescent="0.25">
      <c r="A117" s="257" t="s">
        <v>508</v>
      </c>
      <c r="B117" s="295" t="s">
        <v>368</v>
      </c>
      <c r="C117" s="293" t="s">
        <v>313</v>
      </c>
      <c r="D117" s="264">
        <f>(E117/8)*12</f>
        <v>33604.5</v>
      </c>
      <c r="E117" s="290">
        <v>22403</v>
      </c>
      <c r="G117" s="256"/>
      <c r="H117" s="256"/>
      <c r="I117" s="256"/>
      <c r="J117" s="256"/>
      <c r="K117" s="256"/>
      <c r="L117" s="256"/>
      <c r="M117" s="256"/>
      <c r="N117" s="256"/>
      <c r="O117" s="256"/>
    </row>
    <row r="118" spans="1:15" s="259" customFormat="1" ht="26.4" x14ac:dyDescent="0.25">
      <c r="A118" s="306" t="s">
        <v>509</v>
      </c>
      <c r="B118" s="257" t="s">
        <v>368</v>
      </c>
      <c r="C118" s="293" t="s">
        <v>313</v>
      </c>
      <c r="D118" s="264">
        <f>E118</f>
        <v>114800</v>
      </c>
      <c r="E118" s="290">
        <v>114800</v>
      </c>
      <c r="G118" s="260"/>
      <c r="H118" s="260"/>
      <c r="I118" s="260"/>
      <c r="J118" s="260"/>
      <c r="K118" s="260"/>
      <c r="L118" s="260"/>
      <c r="M118" s="260"/>
      <c r="N118" s="260"/>
      <c r="O118" s="260"/>
    </row>
    <row r="119" spans="1:15" s="259" customFormat="1" ht="26.4" x14ac:dyDescent="0.25">
      <c r="A119" s="301" t="s">
        <v>510</v>
      </c>
      <c r="B119" s="295" t="s">
        <v>511</v>
      </c>
      <c r="C119" s="293" t="s">
        <v>313</v>
      </c>
      <c r="D119" s="303">
        <f>E119</f>
        <v>886202</v>
      </c>
      <c r="E119" s="287">
        <v>886202</v>
      </c>
      <c r="G119" s="260"/>
      <c r="H119" s="260"/>
      <c r="I119" s="260"/>
      <c r="J119" s="260"/>
      <c r="K119" s="260"/>
      <c r="L119" s="260"/>
      <c r="M119" s="260"/>
      <c r="N119" s="260"/>
      <c r="O119" s="260"/>
    </row>
    <row r="120" spans="1:15" s="259" customFormat="1" x14ac:dyDescent="0.25">
      <c r="A120" s="307" t="s">
        <v>512</v>
      </c>
      <c r="B120" s="308" t="s">
        <v>513</v>
      </c>
      <c r="C120" s="309" t="s">
        <v>313</v>
      </c>
      <c r="D120" s="310">
        <f>E120</f>
        <v>64650</v>
      </c>
      <c r="E120" s="311">
        <v>64650</v>
      </c>
      <c r="G120" s="260"/>
      <c r="H120" s="260"/>
      <c r="I120" s="260"/>
      <c r="J120" s="260"/>
      <c r="K120" s="260"/>
      <c r="L120" s="260"/>
      <c r="M120" s="260"/>
      <c r="N120" s="260"/>
      <c r="O120" s="260"/>
    </row>
    <row r="121" spans="1:15" s="259" customFormat="1" x14ac:dyDescent="0.25">
      <c r="A121" s="258" t="s">
        <v>514</v>
      </c>
      <c r="B121" s="257" t="s">
        <v>515</v>
      </c>
      <c r="C121" s="293" t="s">
        <v>313</v>
      </c>
      <c r="D121" s="303">
        <f>E121</f>
        <v>2752523</v>
      </c>
      <c r="E121" s="287">
        <v>2752523</v>
      </c>
      <c r="G121" s="260"/>
      <c r="H121" s="260"/>
      <c r="I121" s="260"/>
      <c r="J121" s="260"/>
      <c r="K121" s="260"/>
      <c r="L121" s="260"/>
      <c r="M121" s="260"/>
      <c r="N121" s="260"/>
      <c r="O121" s="260"/>
    </row>
    <row r="122" spans="1:15" s="259" customFormat="1" x14ac:dyDescent="0.25">
      <c r="A122" s="312" t="s">
        <v>516</v>
      </c>
      <c r="B122" s="267" t="s">
        <v>388</v>
      </c>
      <c r="C122" s="309">
        <v>45291</v>
      </c>
      <c r="D122" s="310">
        <v>1699000</v>
      </c>
      <c r="E122" s="311">
        <v>0</v>
      </c>
      <c r="G122" s="260"/>
      <c r="H122" s="260"/>
      <c r="I122" s="260"/>
      <c r="J122" s="260"/>
      <c r="K122" s="260"/>
      <c r="L122" s="260"/>
      <c r="M122" s="260"/>
      <c r="N122" s="260"/>
      <c r="O122" s="260"/>
    </row>
    <row r="123" spans="1:15" s="259" customFormat="1" ht="26.4" x14ac:dyDescent="0.25">
      <c r="A123" s="301" t="s">
        <v>517</v>
      </c>
      <c r="B123" s="295" t="s">
        <v>518</v>
      </c>
      <c r="C123" s="313"/>
      <c r="D123" s="303">
        <f>130000*12</f>
        <v>1560000</v>
      </c>
      <c r="E123" s="287">
        <v>1207950</v>
      </c>
      <c r="G123" s="260"/>
      <c r="H123" s="260"/>
      <c r="I123" s="260"/>
      <c r="J123" s="260"/>
      <c r="K123" s="260"/>
      <c r="L123" s="260"/>
      <c r="M123" s="260"/>
      <c r="N123" s="260"/>
      <c r="O123" s="260"/>
    </row>
    <row r="124" spans="1:15" s="250" customFormat="1" x14ac:dyDescent="0.25">
      <c r="A124" s="301" t="s">
        <v>517</v>
      </c>
      <c r="B124" s="302" t="s">
        <v>519</v>
      </c>
      <c r="C124" s="293">
        <v>43874</v>
      </c>
      <c r="D124" s="303">
        <f>E124</f>
        <v>474010</v>
      </c>
      <c r="E124" s="287">
        <v>474010</v>
      </c>
      <c r="G124" s="256"/>
      <c r="H124" s="256"/>
      <c r="I124" s="256"/>
      <c r="J124" s="256"/>
      <c r="K124" s="256"/>
      <c r="L124" s="256"/>
      <c r="M124" s="256"/>
      <c r="N124" s="256"/>
      <c r="O124" s="256"/>
    </row>
    <row r="125" spans="1:15" s="250" customFormat="1" x14ac:dyDescent="0.25">
      <c r="A125" s="301" t="s">
        <v>520</v>
      </c>
      <c r="B125" s="302" t="s">
        <v>521</v>
      </c>
      <c r="C125" s="293">
        <v>46295</v>
      </c>
      <c r="D125" s="303">
        <f>E125</f>
        <v>93068139</v>
      </c>
      <c r="E125" s="287">
        <v>93068139</v>
      </c>
      <c r="G125" s="256"/>
      <c r="H125" s="256"/>
      <c r="I125" s="256"/>
      <c r="J125" s="256"/>
      <c r="K125" s="256"/>
      <c r="L125" s="256"/>
      <c r="M125" s="256"/>
      <c r="N125" s="256"/>
      <c r="O125" s="256"/>
    </row>
    <row r="126" spans="1:15" s="250" customFormat="1" x14ac:dyDescent="0.25">
      <c r="A126" s="301" t="s">
        <v>522</v>
      </c>
      <c r="B126" s="302" t="s">
        <v>523</v>
      </c>
      <c r="C126" s="293">
        <v>45016</v>
      </c>
      <c r="D126" s="303">
        <f>E126*2</f>
        <v>3104448</v>
      </c>
      <c r="E126" s="287">
        <v>1552224</v>
      </c>
      <c r="G126" s="256"/>
      <c r="H126" s="256"/>
      <c r="I126" s="256"/>
      <c r="J126" s="256"/>
      <c r="K126" s="256"/>
      <c r="L126" s="256"/>
      <c r="M126" s="256"/>
      <c r="N126" s="256"/>
      <c r="O126" s="256"/>
    </row>
    <row r="127" spans="1:15" s="250" customFormat="1" x14ac:dyDescent="0.25">
      <c r="A127" s="301" t="s">
        <v>524</v>
      </c>
      <c r="B127" s="302" t="s">
        <v>525</v>
      </c>
      <c r="C127" s="293" t="s">
        <v>313</v>
      </c>
      <c r="D127" s="303">
        <f>E127</f>
        <v>130680</v>
      </c>
      <c r="E127" s="287">
        <v>130680</v>
      </c>
      <c r="G127" s="256"/>
      <c r="H127" s="256"/>
      <c r="I127" s="256"/>
      <c r="J127" s="256"/>
      <c r="K127" s="256"/>
      <c r="L127" s="256"/>
      <c r="M127" s="256"/>
      <c r="N127" s="256"/>
      <c r="O127" s="256"/>
    </row>
    <row r="128" spans="1:15" s="250" customFormat="1" x14ac:dyDescent="0.25">
      <c r="A128" s="301" t="s">
        <v>526</v>
      </c>
      <c r="B128" s="302" t="s">
        <v>527</v>
      </c>
      <c r="C128" s="293" t="s">
        <v>313</v>
      </c>
      <c r="D128" s="303">
        <f>E128</f>
        <v>23100</v>
      </c>
      <c r="E128" s="287">
        <v>23100</v>
      </c>
      <c r="G128" s="256"/>
      <c r="H128" s="256"/>
      <c r="I128" s="256"/>
      <c r="J128" s="256"/>
      <c r="K128" s="256"/>
      <c r="L128" s="256"/>
      <c r="M128" s="256"/>
      <c r="N128" s="256"/>
      <c r="O128" s="256"/>
    </row>
    <row r="129" spans="1:15" s="250" customFormat="1" ht="26.4" x14ac:dyDescent="0.25">
      <c r="A129" s="314" t="s">
        <v>528</v>
      </c>
      <c r="B129" s="315" t="s">
        <v>529</v>
      </c>
      <c r="C129" s="316" t="s">
        <v>313</v>
      </c>
      <c r="D129" s="264">
        <f>E129</f>
        <v>271560</v>
      </c>
      <c r="E129" s="265">
        <v>271560</v>
      </c>
      <c r="G129" s="256"/>
      <c r="H129" s="256"/>
      <c r="I129" s="256"/>
      <c r="J129" s="256"/>
      <c r="K129" s="256"/>
      <c r="L129" s="256"/>
      <c r="M129" s="256"/>
      <c r="N129" s="256"/>
      <c r="O129" s="256"/>
    </row>
    <row r="130" spans="1:15" s="317" customFormat="1" x14ac:dyDescent="0.25">
      <c r="A130" s="307" t="s">
        <v>530</v>
      </c>
      <c r="B130" s="308" t="s">
        <v>531</v>
      </c>
      <c r="C130" s="309" t="s">
        <v>313</v>
      </c>
      <c r="D130" s="310">
        <f>52610*12</f>
        <v>631320</v>
      </c>
      <c r="E130" s="311">
        <v>607720</v>
      </c>
      <c r="G130" s="318"/>
      <c r="H130" s="318"/>
      <c r="I130" s="318"/>
      <c r="J130" s="318"/>
      <c r="K130" s="318"/>
      <c r="L130" s="318"/>
      <c r="M130" s="318"/>
      <c r="N130" s="318"/>
      <c r="O130" s="318"/>
    </row>
    <row r="131" spans="1:15" s="259" customFormat="1" ht="26.4" x14ac:dyDescent="0.25">
      <c r="A131" s="301" t="s">
        <v>532</v>
      </c>
      <c r="B131" s="295" t="s">
        <v>533</v>
      </c>
      <c r="C131" s="293" t="s">
        <v>534</v>
      </c>
      <c r="D131" s="303">
        <f>5461000-E131</f>
        <v>3276600</v>
      </c>
      <c r="E131" s="287">
        <v>2184400</v>
      </c>
      <c r="G131" s="260"/>
      <c r="H131" s="260"/>
      <c r="I131" s="260"/>
      <c r="J131" s="260"/>
      <c r="K131" s="260"/>
      <c r="L131" s="260"/>
      <c r="M131" s="260"/>
      <c r="N131" s="260"/>
      <c r="O131" s="260"/>
    </row>
    <row r="132" spans="1:15" s="259" customFormat="1" ht="26.4" x14ac:dyDescent="0.25">
      <c r="A132" s="301" t="s">
        <v>532</v>
      </c>
      <c r="B132" s="295" t="s">
        <v>535</v>
      </c>
      <c r="C132" s="293" t="s">
        <v>534</v>
      </c>
      <c r="D132" s="303">
        <f>6604000-E132</f>
        <v>3962400</v>
      </c>
      <c r="E132" s="287">
        <v>2641600</v>
      </c>
      <c r="G132" s="260"/>
      <c r="H132" s="260"/>
      <c r="I132" s="260"/>
      <c r="J132" s="260"/>
      <c r="K132" s="260"/>
      <c r="L132" s="260"/>
      <c r="M132" s="260"/>
      <c r="N132" s="260"/>
      <c r="O132" s="260"/>
    </row>
    <row r="133" spans="1:15" s="250" customFormat="1" ht="26.4" x14ac:dyDescent="0.25">
      <c r="A133" s="301" t="s">
        <v>532</v>
      </c>
      <c r="B133" s="295" t="s">
        <v>536</v>
      </c>
      <c r="C133" s="293" t="s">
        <v>534</v>
      </c>
      <c r="D133" s="303">
        <f>8890000-E133</f>
        <v>5334000</v>
      </c>
      <c r="E133" s="287">
        <v>3556000</v>
      </c>
      <c r="G133" s="256"/>
      <c r="H133" s="256"/>
      <c r="I133" s="256"/>
      <c r="J133" s="256"/>
      <c r="K133" s="256"/>
      <c r="L133" s="256"/>
      <c r="M133" s="256"/>
      <c r="N133" s="256"/>
      <c r="O133" s="256"/>
    </row>
    <row r="134" spans="1:15" s="250" customFormat="1" x14ac:dyDescent="0.25">
      <c r="A134" s="301" t="s">
        <v>537</v>
      </c>
      <c r="B134" s="295" t="s">
        <v>368</v>
      </c>
      <c r="C134" s="293" t="s">
        <v>313</v>
      </c>
      <c r="D134" s="303">
        <f>E134</f>
        <v>337820</v>
      </c>
      <c r="E134" s="287">
        <v>337820</v>
      </c>
      <c r="G134" s="256"/>
      <c r="H134" s="256"/>
      <c r="I134" s="256"/>
      <c r="J134" s="256"/>
      <c r="K134" s="256"/>
      <c r="L134" s="256"/>
      <c r="M134" s="256"/>
      <c r="N134" s="256"/>
      <c r="O134" s="256"/>
    </row>
    <row r="135" spans="1:15" s="250" customFormat="1" x14ac:dyDescent="0.25">
      <c r="A135" s="314" t="s">
        <v>538</v>
      </c>
      <c r="B135" s="257" t="s">
        <v>539</v>
      </c>
      <c r="C135" s="263" t="s">
        <v>540</v>
      </c>
      <c r="D135" s="264">
        <f>E135</f>
        <v>2075027</v>
      </c>
      <c r="E135" s="290">
        <f>1980027+95000</f>
        <v>2075027</v>
      </c>
      <c r="G135" s="256"/>
      <c r="H135" s="256"/>
      <c r="I135" s="256"/>
      <c r="J135" s="256"/>
      <c r="K135" s="256"/>
      <c r="L135" s="256"/>
      <c r="M135" s="256"/>
      <c r="N135" s="256"/>
      <c r="O135" s="256"/>
    </row>
    <row r="136" spans="1:15" s="259" customFormat="1" x14ac:dyDescent="0.25">
      <c r="A136" s="261" t="s">
        <v>541</v>
      </c>
      <c r="B136" s="262" t="s">
        <v>542</v>
      </c>
      <c r="C136" s="263" t="s">
        <v>313</v>
      </c>
      <c r="D136" s="264">
        <f>2008837*12</f>
        <v>24106044</v>
      </c>
      <c r="E136" s="265">
        <v>24106044</v>
      </c>
      <c r="G136" s="260"/>
      <c r="H136" s="260"/>
      <c r="I136" s="260"/>
      <c r="J136" s="260"/>
      <c r="K136" s="260"/>
      <c r="L136" s="260"/>
      <c r="M136" s="260"/>
      <c r="N136" s="260"/>
      <c r="O136" s="260"/>
    </row>
    <row r="137" spans="1:15" s="250" customFormat="1" ht="26.4" x14ac:dyDescent="0.25">
      <c r="A137" s="261" t="s">
        <v>543</v>
      </c>
      <c r="B137" s="272" t="s">
        <v>544</v>
      </c>
      <c r="C137" s="263"/>
      <c r="D137" s="264">
        <v>100000</v>
      </c>
      <c r="E137" s="265">
        <v>0</v>
      </c>
      <c r="G137" s="256"/>
      <c r="H137" s="256"/>
      <c r="I137" s="256"/>
      <c r="J137" s="256"/>
      <c r="K137" s="256"/>
      <c r="L137" s="256"/>
      <c r="M137" s="256"/>
      <c r="N137" s="256"/>
      <c r="O137" s="256"/>
    </row>
    <row r="138" spans="1:15" s="259" customFormat="1" ht="26.4" x14ac:dyDescent="0.25">
      <c r="A138" s="261" t="s">
        <v>545</v>
      </c>
      <c r="B138" s="271" t="s">
        <v>546</v>
      </c>
      <c r="C138" s="263" t="s">
        <v>323</v>
      </c>
      <c r="D138" s="264">
        <f>12*250000</f>
        <v>3000000</v>
      </c>
      <c r="E138" s="265">
        <v>2950000</v>
      </c>
      <c r="G138" s="260"/>
      <c r="H138" s="260"/>
      <c r="I138" s="260"/>
      <c r="J138" s="260"/>
      <c r="K138" s="260"/>
      <c r="L138" s="260"/>
      <c r="M138" s="260"/>
      <c r="N138" s="260"/>
      <c r="O138" s="260"/>
    </row>
    <row r="139" spans="1:15" s="259" customFormat="1" x14ac:dyDescent="0.25">
      <c r="A139" s="261" t="s">
        <v>545</v>
      </c>
      <c r="B139" s="271" t="s">
        <v>547</v>
      </c>
      <c r="C139" s="263" t="s">
        <v>410</v>
      </c>
      <c r="D139" s="264">
        <v>88000</v>
      </c>
      <c r="E139" s="265">
        <v>197000</v>
      </c>
      <c r="G139" s="260"/>
      <c r="H139" s="260"/>
      <c r="I139" s="260"/>
      <c r="J139" s="260"/>
      <c r="K139" s="260"/>
      <c r="L139" s="260"/>
      <c r="M139" s="260"/>
      <c r="N139" s="260"/>
      <c r="O139" s="260"/>
    </row>
    <row r="140" spans="1:15" s="259" customFormat="1" ht="26.4" x14ac:dyDescent="0.25">
      <c r="A140" s="261" t="s">
        <v>545</v>
      </c>
      <c r="B140" s="271" t="s">
        <v>548</v>
      </c>
      <c r="C140" s="263" t="s">
        <v>410</v>
      </c>
      <c r="D140" s="264">
        <v>31500</v>
      </c>
      <c r="E140" s="265">
        <v>479000</v>
      </c>
      <c r="G140" s="260"/>
      <c r="H140" s="260"/>
      <c r="I140" s="260"/>
      <c r="J140" s="260"/>
      <c r="K140" s="260"/>
      <c r="L140" s="260"/>
      <c r="M140" s="260"/>
      <c r="N140" s="260"/>
      <c r="O140" s="260"/>
    </row>
    <row r="141" spans="1:15" s="259" customFormat="1" x14ac:dyDescent="0.25">
      <c r="A141" s="261" t="s">
        <v>545</v>
      </c>
      <c r="B141" s="271" t="s">
        <v>549</v>
      </c>
      <c r="C141" s="263" t="s">
        <v>410</v>
      </c>
      <c r="D141" s="264">
        <v>153550</v>
      </c>
      <c r="E141" s="265">
        <v>489550</v>
      </c>
      <c r="G141" s="260"/>
      <c r="H141" s="260"/>
      <c r="I141" s="260"/>
      <c r="J141" s="260"/>
      <c r="K141" s="260"/>
      <c r="L141" s="260"/>
      <c r="M141" s="260"/>
      <c r="N141" s="260"/>
      <c r="O141" s="260"/>
    </row>
    <row r="142" spans="1:15" s="259" customFormat="1" x14ac:dyDescent="0.25">
      <c r="A142" s="261" t="s">
        <v>550</v>
      </c>
      <c r="B142" s="271" t="s">
        <v>551</v>
      </c>
      <c r="C142" s="263">
        <v>45107</v>
      </c>
      <c r="D142" s="264">
        <f>68326*6</f>
        <v>409956</v>
      </c>
      <c r="E142" s="265">
        <v>394528</v>
      </c>
      <c r="G142" s="260"/>
      <c r="H142" s="260"/>
      <c r="I142" s="260"/>
      <c r="J142" s="260"/>
      <c r="K142" s="260"/>
      <c r="L142" s="260"/>
      <c r="M142" s="260"/>
      <c r="N142" s="260"/>
      <c r="O142" s="260"/>
    </row>
    <row r="143" spans="1:15" s="259" customFormat="1" x14ac:dyDescent="0.25">
      <c r="A143" s="261" t="s">
        <v>552</v>
      </c>
      <c r="B143" s="271" t="s">
        <v>553</v>
      </c>
      <c r="C143" s="263" t="s">
        <v>313</v>
      </c>
      <c r="D143" s="264">
        <f>E143*2</f>
        <v>994868</v>
      </c>
      <c r="E143" s="265">
        <v>497434</v>
      </c>
      <c r="G143" s="260"/>
      <c r="H143" s="260"/>
      <c r="I143" s="260"/>
      <c r="J143" s="260"/>
      <c r="K143" s="260"/>
      <c r="L143" s="260"/>
      <c r="M143" s="260"/>
      <c r="N143" s="260"/>
      <c r="O143" s="260"/>
    </row>
    <row r="144" spans="1:15" s="259" customFormat="1" x14ac:dyDescent="0.25">
      <c r="A144" s="266" t="s">
        <v>554</v>
      </c>
      <c r="B144" s="267" t="s">
        <v>555</v>
      </c>
      <c r="C144" s="319" t="s">
        <v>313</v>
      </c>
      <c r="D144" s="269">
        <f>12*16789</f>
        <v>201468</v>
      </c>
      <c r="E144" s="270">
        <v>209890</v>
      </c>
      <c r="G144" s="260"/>
      <c r="H144" s="260"/>
      <c r="I144" s="260"/>
      <c r="J144" s="260"/>
      <c r="K144" s="260"/>
      <c r="L144" s="260"/>
      <c r="M144" s="260"/>
      <c r="N144" s="260"/>
      <c r="O144" s="260"/>
    </row>
    <row r="145" spans="1:15" s="259" customFormat="1" x14ac:dyDescent="0.25">
      <c r="A145" s="261" t="s">
        <v>554</v>
      </c>
      <c r="B145" s="262" t="s">
        <v>556</v>
      </c>
      <c r="C145" s="273" t="s">
        <v>313</v>
      </c>
      <c r="D145" s="264">
        <f>E145</f>
        <v>60808</v>
      </c>
      <c r="E145" s="265">
        <v>60808</v>
      </c>
      <c r="G145" s="260"/>
      <c r="H145" s="260"/>
      <c r="I145" s="260"/>
      <c r="J145" s="260"/>
      <c r="K145" s="260"/>
      <c r="L145" s="260"/>
      <c r="M145" s="260"/>
      <c r="N145" s="260"/>
      <c r="O145" s="260"/>
    </row>
    <row r="146" spans="1:15" s="323" customFormat="1" ht="13.8" thickBot="1" x14ac:dyDescent="0.3">
      <c r="A146" s="597" t="s">
        <v>23</v>
      </c>
      <c r="B146" s="598"/>
      <c r="C146" s="598"/>
      <c r="D146" s="321">
        <f>SUM(D9:D145)</f>
        <v>1659622547.9742858</v>
      </c>
      <c r="E146" s="322">
        <f>SUM(E9:E145)</f>
        <v>1357894978</v>
      </c>
      <c r="G146" s="324"/>
      <c r="H146" s="324"/>
      <c r="I146" s="324"/>
      <c r="J146" s="324"/>
      <c r="K146" s="324"/>
      <c r="L146" s="324"/>
      <c r="M146" s="324"/>
      <c r="N146" s="324"/>
      <c r="O146" s="324"/>
    </row>
    <row r="147" spans="1:15" x14ac:dyDescent="0.25">
      <c r="F147" s="243"/>
      <c r="G147" s="325"/>
      <c r="H147" s="325"/>
      <c r="I147" s="325"/>
      <c r="J147" s="325"/>
      <c r="K147" s="325"/>
      <c r="L147" s="325"/>
      <c r="M147" s="325"/>
      <c r="N147" s="325"/>
      <c r="O147" s="325"/>
    </row>
    <row r="148" spans="1:15" x14ac:dyDescent="0.25">
      <c r="G148" s="325"/>
      <c r="H148" s="325"/>
      <c r="I148" s="325"/>
      <c r="J148" s="325"/>
      <c r="K148" s="325"/>
      <c r="L148" s="325"/>
      <c r="M148" s="325"/>
      <c r="N148" s="325"/>
      <c r="O148" s="325"/>
    </row>
    <row r="149" spans="1:15" x14ac:dyDescent="0.25">
      <c r="G149" s="325"/>
      <c r="H149" s="325"/>
      <c r="I149" s="325"/>
      <c r="J149" s="325"/>
      <c r="K149" s="325"/>
      <c r="L149" s="325"/>
      <c r="M149" s="325"/>
      <c r="N149" s="325"/>
      <c r="O149" s="325"/>
    </row>
    <row r="152" spans="1:15" x14ac:dyDescent="0.25">
      <c r="F152" s="325"/>
      <c r="G152" s="325"/>
    </row>
    <row r="153" spans="1:15" x14ac:dyDescent="0.25">
      <c r="F153" s="325"/>
      <c r="G153" s="325"/>
    </row>
    <row r="154" spans="1:15" x14ac:dyDescent="0.25">
      <c r="F154" s="325"/>
      <c r="G154" s="325"/>
    </row>
    <row r="155" spans="1:15" x14ac:dyDescent="0.25">
      <c r="F155" s="325"/>
      <c r="G155" s="325"/>
    </row>
    <row r="156" spans="1:15" x14ac:dyDescent="0.25">
      <c r="F156" s="325"/>
      <c r="G156" s="325"/>
    </row>
    <row r="157" spans="1:15" x14ac:dyDescent="0.25">
      <c r="F157" s="325"/>
      <c r="G157" s="325"/>
    </row>
    <row r="158" spans="1:15" x14ac:dyDescent="0.25">
      <c r="F158" s="325"/>
      <c r="G158" s="325"/>
    </row>
    <row r="159" spans="1:15" x14ac:dyDescent="0.25">
      <c r="F159" s="325"/>
      <c r="G159" s="325"/>
    </row>
    <row r="160" spans="1:15" x14ac:dyDescent="0.25">
      <c r="F160" s="325"/>
      <c r="G160" s="325"/>
    </row>
    <row r="161" spans="4:7" x14ac:dyDescent="0.25">
      <c r="F161" s="325"/>
      <c r="G161" s="325"/>
    </row>
    <row r="162" spans="4:7" x14ac:dyDescent="0.25">
      <c r="F162" s="325"/>
      <c r="G162" s="325"/>
    </row>
    <row r="163" spans="4:7" x14ac:dyDescent="0.25">
      <c r="F163" s="325"/>
      <c r="G163" s="325"/>
    </row>
    <row r="164" spans="4:7" x14ac:dyDescent="0.25">
      <c r="F164" s="325"/>
      <c r="G164" s="325"/>
    </row>
    <row r="165" spans="4:7" x14ac:dyDescent="0.25">
      <c r="F165" s="325"/>
      <c r="G165" s="325"/>
    </row>
    <row r="166" spans="4:7" x14ac:dyDescent="0.25">
      <c r="F166" s="325"/>
      <c r="G166" s="325"/>
    </row>
    <row r="167" spans="4:7" x14ac:dyDescent="0.25">
      <c r="F167" s="325"/>
      <c r="G167" s="325"/>
    </row>
    <row r="168" spans="4:7" x14ac:dyDescent="0.25">
      <c r="D168" s="325"/>
      <c r="F168" s="325"/>
      <c r="G168" s="325"/>
    </row>
    <row r="169" spans="4:7" x14ac:dyDescent="0.25">
      <c r="F169" s="325"/>
      <c r="G169" s="325"/>
    </row>
    <row r="170" spans="4:7" x14ac:dyDescent="0.25">
      <c r="F170" s="325"/>
      <c r="G170" s="325"/>
    </row>
    <row r="171" spans="4:7" x14ac:dyDescent="0.25">
      <c r="F171" s="325"/>
      <c r="G171" s="325"/>
    </row>
    <row r="172" spans="4:7" x14ac:dyDescent="0.25">
      <c r="F172" s="325"/>
      <c r="G172" s="325"/>
    </row>
    <row r="173" spans="4:7" x14ac:dyDescent="0.25">
      <c r="F173" s="325"/>
      <c r="G173" s="325"/>
    </row>
    <row r="174" spans="4:7" x14ac:dyDescent="0.25">
      <c r="F174" s="325"/>
      <c r="G174" s="325"/>
    </row>
    <row r="175" spans="4:7" x14ac:dyDescent="0.25">
      <c r="F175" s="325"/>
      <c r="G175" s="325"/>
    </row>
    <row r="176" spans="4:7" x14ac:dyDescent="0.25">
      <c r="F176" s="325"/>
      <c r="G176" s="325"/>
    </row>
    <row r="177" spans="6:7" x14ac:dyDescent="0.25">
      <c r="F177" s="325"/>
      <c r="G177" s="325"/>
    </row>
    <row r="178" spans="6:7" x14ac:dyDescent="0.25">
      <c r="F178" s="325"/>
      <c r="G178" s="325"/>
    </row>
    <row r="179" spans="6:7" x14ac:dyDescent="0.25">
      <c r="F179" s="325"/>
      <c r="G179" s="325"/>
    </row>
    <row r="180" spans="6:7" x14ac:dyDescent="0.25">
      <c r="F180" s="325"/>
      <c r="G180" s="325"/>
    </row>
    <row r="181" spans="6:7" x14ac:dyDescent="0.25">
      <c r="F181" s="325"/>
      <c r="G181" s="325"/>
    </row>
  </sheetData>
  <mergeCells count="7">
    <mergeCell ref="A146:C146"/>
    <mergeCell ref="A3:E3"/>
    <mergeCell ref="A7:A8"/>
    <mergeCell ref="B7:B8"/>
    <mergeCell ref="C7:C8"/>
    <mergeCell ref="D7:D8"/>
    <mergeCell ref="E7:E8"/>
  </mergeCells>
  <hyperlinks>
    <hyperlink ref="A135" r:id="rId1" display="https://gazd-a-20.asp.lgov.hu/gazd-dombovar/CORE/eur/php/formfull.php?===tMuE2AvATZ9DzM0NwA581HGMFZjxwAl0QMccapyc3pzD2og9ypyOarmS2n9HJou5To1E2ogMlGT5HFsEIDn9xHOEIDV1QMcIJou5Jol9zMzLJLxqwLwOGCxMTAjLGBsA1H3r5n1===" xr:uid="{0B3327FE-764B-4A7A-BFE3-42158E7C082B}"/>
  </hyperlinks>
  <pageMargins left="0.70866141732283472" right="0.70866141732283472" top="0.74803149606299213" bottom="0.74803149606299213" header="0.31496062992125984" footer="0.31496062992125984"/>
  <pageSetup paperSize="9" scale="59" fitToHeight="0" orientation="landscape"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F873A-FA73-47C0-BAFD-770046AB41E6}">
  <sheetPr>
    <pageSetUpPr fitToPage="1"/>
  </sheetPr>
  <dimension ref="A1:O133"/>
  <sheetViews>
    <sheetView zoomScaleNormal="100" workbookViewId="0">
      <selection activeCell="A4" sqref="A4"/>
    </sheetView>
  </sheetViews>
  <sheetFormatPr defaultRowHeight="13.2" x14ac:dyDescent="0.25"/>
  <cols>
    <col min="1" max="1" width="38.88671875" style="235" customWidth="1"/>
    <col min="2" max="2" width="45.88671875" style="236" customWidth="1"/>
    <col min="3" max="3" width="13.6640625" style="237" customWidth="1"/>
    <col min="4" max="4" width="17.44140625" style="238" customWidth="1"/>
    <col min="5" max="5" width="13.88671875" style="241" customWidth="1"/>
    <col min="6" max="6" width="39.5546875" customWidth="1"/>
    <col min="7" max="7" width="24.109375" customWidth="1"/>
    <col min="8" max="8" width="21.6640625" customWidth="1"/>
    <col min="257" max="257" width="37.88671875" customWidth="1"/>
    <col min="258" max="258" width="40.6640625" customWidth="1"/>
    <col min="259" max="259" width="14.5546875" customWidth="1"/>
    <col min="260" max="260" width="18" bestFit="1" customWidth="1"/>
    <col min="261" max="261" width="14" customWidth="1"/>
    <col min="262" max="262" width="17.33203125" customWidth="1"/>
    <col min="263" max="263" width="24.109375" customWidth="1"/>
    <col min="264" max="264" width="21.6640625" customWidth="1"/>
    <col min="513" max="513" width="37.88671875" customWidth="1"/>
    <col min="514" max="514" width="40.6640625" customWidth="1"/>
    <col min="515" max="515" width="14.5546875" customWidth="1"/>
    <col min="516" max="516" width="18" bestFit="1" customWidth="1"/>
    <col min="517" max="517" width="14" customWidth="1"/>
    <col min="518" max="518" width="17.33203125" customWidth="1"/>
    <col min="519" max="519" width="24.109375" customWidth="1"/>
    <col min="520" max="520" width="21.6640625" customWidth="1"/>
    <col min="769" max="769" width="37.88671875" customWidth="1"/>
    <col min="770" max="770" width="40.6640625" customWidth="1"/>
    <col min="771" max="771" width="14.5546875" customWidth="1"/>
    <col min="772" max="772" width="18" bestFit="1" customWidth="1"/>
    <col min="773" max="773" width="14" customWidth="1"/>
    <col min="774" max="774" width="17.33203125" customWidth="1"/>
    <col min="775" max="775" width="24.109375" customWidth="1"/>
    <col min="776" max="776" width="21.6640625" customWidth="1"/>
    <col min="1025" max="1025" width="37.88671875" customWidth="1"/>
    <col min="1026" max="1026" width="40.6640625" customWidth="1"/>
    <col min="1027" max="1027" width="14.5546875" customWidth="1"/>
    <col min="1028" max="1028" width="18" bestFit="1" customWidth="1"/>
    <col min="1029" max="1029" width="14" customWidth="1"/>
    <col min="1030" max="1030" width="17.33203125" customWidth="1"/>
    <col min="1031" max="1031" width="24.109375" customWidth="1"/>
    <col min="1032" max="1032" width="21.6640625" customWidth="1"/>
    <col min="1281" max="1281" width="37.88671875" customWidth="1"/>
    <col min="1282" max="1282" width="40.6640625" customWidth="1"/>
    <col min="1283" max="1283" width="14.5546875" customWidth="1"/>
    <col min="1284" max="1284" width="18" bestFit="1" customWidth="1"/>
    <col min="1285" max="1285" width="14" customWidth="1"/>
    <col min="1286" max="1286" width="17.33203125" customWidth="1"/>
    <col min="1287" max="1287" width="24.109375" customWidth="1"/>
    <col min="1288" max="1288" width="21.6640625" customWidth="1"/>
    <col min="1537" max="1537" width="37.88671875" customWidth="1"/>
    <col min="1538" max="1538" width="40.6640625" customWidth="1"/>
    <col min="1539" max="1539" width="14.5546875" customWidth="1"/>
    <col min="1540" max="1540" width="18" bestFit="1" customWidth="1"/>
    <col min="1541" max="1541" width="14" customWidth="1"/>
    <col min="1542" max="1542" width="17.33203125" customWidth="1"/>
    <col min="1543" max="1543" width="24.109375" customWidth="1"/>
    <col min="1544" max="1544" width="21.6640625" customWidth="1"/>
    <col min="1793" max="1793" width="37.88671875" customWidth="1"/>
    <col min="1794" max="1794" width="40.6640625" customWidth="1"/>
    <col min="1795" max="1795" width="14.5546875" customWidth="1"/>
    <col min="1796" max="1796" width="18" bestFit="1" customWidth="1"/>
    <col min="1797" max="1797" width="14" customWidth="1"/>
    <col min="1798" max="1798" width="17.33203125" customWidth="1"/>
    <col min="1799" max="1799" width="24.109375" customWidth="1"/>
    <col min="1800" max="1800" width="21.6640625" customWidth="1"/>
    <col min="2049" max="2049" width="37.88671875" customWidth="1"/>
    <col min="2050" max="2050" width="40.6640625" customWidth="1"/>
    <col min="2051" max="2051" width="14.5546875" customWidth="1"/>
    <col min="2052" max="2052" width="18" bestFit="1" customWidth="1"/>
    <col min="2053" max="2053" width="14" customWidth="1"/>
    <col min="2054" max="2054" width="17.33203125" customWidth="1"/>
    <col min="2055" max="2055" width="24.109375" customWidth="1"/>
    <col min="2056" max="2056" width="21.6640625" customWidth="1"/>
    <col min="2305" max="2305" width="37.88671875" customWidth="1"/>
    <col min="2306" max="2306" width="40.6640625" customWidth="1"/>
    <col min="2307" max="2307" width="14.5546875" customWidth="1"/>
    <col min="2308" max="2308" width="18" bestFit="1" customWidth="1"/>
    <col min="2309" max="2309" width="14" customWidth="1"/>
    <col min="2310" max="2310" width="17.33203125" customWidth="1"/>
    <col min="2311" max="2311" width="24.109375" customWidth="1"/>
    <col min="2312" max="2312" width="21.6640625" customWidth="1"/>
    <col min="2561" max="2561" width="37.88671875" customWidth="1"/>
    <col min="2562" max="2562" width="40.6640625" customWidth="1"/>
    <col min="2563" max="2563" width="14.5546875" customWidth="1"/>
    <col min="2564" max="2564" width="18" bestFit="1" customWidth="1"/>
    <col min="2565" max="2565" width="14" customWidth="1"/>
    <col min="2566" max="2566" width="17.33203125" customWidth="1"/>
    <col min="2567" max="2567" width="24.109375" customWidth="1"/>
    <col min="2568" max="2568" width="21.6640625" customWidth="1"/>
    <col min="2817" max="2817" width="37.88671875" customWidth="1"/>
    <col min="2818" max="2818" width="40.6640625" customWidth="1"/>
    <col min="2819" max="2819" width="14.5546875" customWidth="1"/>
    <col min="2820" max="2820" width="18" bestFit="1" customWidth="1"/>
    <col min="2821" max="2821" width="14" customWidth="1"/>
    <col min="2822" max="2822" width="17.33203125" customWidth="1"/>
    <col min="2823" max="2823" width="24.109375" customWidth="1"/>
    <col min="2824" max="2824" width="21.6640625" customWidth="1"/>
    <col min="3073" max="3073" width="37.88671875" customWidth="1"/>
    <col min="3074" max="3074" width="40.6640625" customWidth="1"/>
    <col min="3075" max="3075" width="14.5546875" customWidth="1"/>
    <col min="3076" max="3076" width="18" bestFit="1" customWidth="1"/>
    <col min="3077" max="3077" width="14" customWidth="1"/>
    <col min="3078" max="3078" width="17.33203125" customWidth="1"/>
    <col min="3079" max="3079" width="24.109375" customWidth="1"/>
    <col min="3080" max="3080" width="21.6640625" customWidth="1"/>
    <col min="3329" max="3329" width="37.88671875" customWidth="1"/>
    <col min="3330" max="3330" width="40.6640625" customWidth="1"/>
    <col min="3331" max="3331" width="14.5546875" customWidth="1"/>
    <col min="3332" max="3332" width="18" bestFit="1" customWidth="1"/>
    <col min="3333" max="3333" width="14" customWidth="1"/>
    <col min="3334" max="3334" width="17.33203125" customWidth="1"/>
    <col min="3335" max="3335" width="24.109375" customWidth="1"/>
    <col min="3336" max="3336" width="21.6640625" customWidth="1"/>
    <col min="3585" max="3585" width="37.88671875" customWidth="1"/>
    <col min="3586" max="3586" width="40.6640625" customWidth="1"/>
    <col min="3587" max="3587" width="14.5546875" customWidth="1"/>
    <col min="3588" max="3588" width="18" bestFit="1" customWidth="1"/>
    <col min="3589" max="3589" width="14" customWidth="1"/>
    <col min="3590" max="3590" width="17.33203125" customWidth="1"/>
    <col min="3591" max="3591" width="24.109375" customWidth="1"/>
    <col min="3592" max="3592" width="21.6640625" customWidth="1"/>
    <col min="3841" max="3841" width="37.88671875" customWidth="1"/>
    <col min="3842" max="3842" width="40.6640625" customWidth="1"/>
    <col min="3843" max="3843" width="14.5546875" customWidth="1"/>
    <col min="3844" max="3844" width="18" bestFit="1" customWidth="1"/>
    <col min="3845" max="3845" width="14" customWidth="1"/>
    <col min="3846" max="3846" width="17.33203125" customWidth="1"/>
    <col min="3847" max="3847" width="24.109375" customWidth="1"/>
    <col min="3848" max="3848" width="21.6640625" customWidth="1"/>
    <col min="4097" max="4097" width="37.88671875" customWidth="1"/>
    <col min="4098" max="4098" width="40.6640625" customWidth="1"/>
    <col min="4099" max="4099" width="14.5546875" customWidth="1"/>
    <col min="4100" max="4100" width="18" bestFit="1" customWidth="1"/>
    <col min="4101" max="4101" width="14" customWidth="1"/>
    <col min="4102" max="4102" width="17.33203125" customWidth="1"/>
    <col min="4103" max="4103" width="24.109375" customWidth="1"/>
    <col min="4104" max="4104" width="21.6640625" customWidth="1"/>
    <col min="4353" max="4353" width="37.88671875" customWidth="1"/>
    <col min="4354" max="4354" width="40.6640625" customWidth="1"/>
    <col min="4355" max="4355" width="14.5546875" customWidth="1"/>
    <col min="4356" max="4356" width="18" bestFit="1" customWidth="1"/>
    <col min="4357" max="4357" width="14" customWidth="1"/>
    <col min="4358" max="4358" width="17.33203125" customWidth="1"/>
    <col min="4359" max="4359" width="24.109375" customWidth="1"/>
    <col min="4360" max="4360" width="21.6640625" customWidth="1"/>
    <col min="4609" max="4609" width="37.88671875" customWidth="1"/>
    <col min="4610" max="4610" width="40.6640625" customWidth="1"/>
    <col min="4611" max="4611" width="14.5546875" customWidth="1"/>
    <col min="4612" max="4612" width="18" bestFit="1" customWidth="1"/>
    <col min="4613" max="4613" width="14" customWidth="1"/>
    <col min="4614" max="4614" width="17.33203125" customWidth="1"/>
    <col min="4615" max="4615" width="24.109375" customWidth="1"/>
    <col min="4616" max="4616" width="21.6640625" customWidth="1"/>
    <col min="4865" max="4865" width="37.88671875" customWidth="1"/>
    <col min="4866" max="4866" width="40.6640625" customWidth="1"/>
    <col min="4867" max="4867" width="14.5546875" customWidth="1"/>
    <col min="4868" max="4868" width="18" bestFit="1" customWidth="1"/>
    <col min="4869" max="4869" width="14" customWidth="1"/>
    <col min="4870" max="4870" width="17.33203125" customWidth="1"/>
    <col min="4871" max="4871" width="24.109375" customWidth="1"/>
    <col min="4872" max="4872" width="21.6640625" customWidth="1"/>
    <col min="5121" max="5121" width="37.88671875" customWidth="1"/>
    <col min="5122" max="5122" width="40.6640625" customWidth="1"/>
    <col min="5123" max="5123" width="14.5546875" customWidth="1"/>
    <col min="5124" max="5124" width="18" bestFit="1" customWidth="1"/>
    <col min="5125" max="5125" width="14" customWidth="1"/>
    <col min="5126" max="5126" width="17.33203125" customWidth="1"/>
    <col min="5127" max="5127" width="24.109375" customWidth="1"/>
    <col min="5128" max="5128" width="21.6640625" customWidth="1"/>
    <col min="5377" max="5377" width="37.88671875" customWidth="1"/>
    <col min="5378" max="5378" width="40.6640625" customWidth="1"/>
    <col min="5379" max="5379" width="14.5546875" customWidth="1"/>
    <col min="5380" max="5380" width="18" bestFit="1" customWidth="1"/>
    <col min="5381" max="5381" width="14" customWidth="1"/>
    <col min="5382" max="5382" width="17.33203125" customWidth="1"/>
    <col min="5383" max="5383" width="24.109375" customWidth="1"/>
    <col min="5384" max="5384" width="21.6640625" customWidth="1"/>
    <col min="5633" max="5633" width="37.88671875" customWidth="1"/>
    <col min="5634" max="5634" width="40.6640625" customWidth="1"/>
    <col min="5635" max="5635" width="14.5546875" customWidth="1"/>
    <col min="5636" max="5636" width="18" bestFit="1" customWidth="1"/>
    <col min="5637" max="5637" width="14" customWidth="1"/>
    <col min="5638" max="5638" width="17.33203125" customWidth="1"/>
    <col min="5639" max="5639" width="24.109375" customWidth="1"/>
    <col min="5640" max="5640" width="21.6640625" customWidth="1"/>
    <col min="5889" max="5889" width="37.88671875" customWidth="1"/>
    <col min="5890" max="5890" width="40.6640625" customWidth="1"/>
    <col min="5891" max="5891" width="14.5546875" customWidth="1"/>
    <col min="5892" max="5892" width="18" bestFit="1" customWidth="1"/>
    <col min="5893" max="5893" width="14" customWidth="1"/>
    <col min="5894" max="5894" width="17.33203125" customWidth="1"/>
    <col min="5895" max="5895" width="24.109375" customWidth="1"/>
    <col min="5896" max="5896" width="21.6640625" customWidth="1"/>
    <col min="6145" max="6145" width="37.88671875" customWidth="1"/>
    <col min="6146" max="6146" width="40.6640625" customWidth="1"/>
    <col min="6147" max="6147" width="14.5546875" customWidth="1"/>
    <col min="6148" max="6148" width="18" bestFit="1" customWidth="1"/>
    <col min="6149" max="6149" width="14" customWidth="1"/>
    <col min="6150" max="6150" width="17.33203125" customWidth="1"/>
    <col min="6151" max="6151" width="24.109375" customWidth="1"/>
    <col min="6152" max="6152" width="21.6640625" customWidth="1"/>
    <col min="6401" max="6401" width="37.88671875" customWidth="1"/>
    <col min="6402" max="6402" width="40.6640625" customWidth="1"/>
    <col min="6403" max="6403" width="14.5546875" customWidth="1"/>
    <col min="6404" max="6404" width="18" bestFit="1" customWidth="1"/>
    <col min="6405" max="6405" width="14" customWidth="1"/>
    <col min="6406" max="6406" width="17.33203125" customWidth="1"/>
    <col min="6407" max="6407" width="24.109375" customWidth="1"/>
    <col min="6408" max="6408" width="21.6640625" customWidth="1"/>
    <col min="6657" max="6657" width="37.88671875" customWidth="1"/>
    <col min="6658" max="6658" width="40.6640625" customWidth="1"/>
    <col min="6659" max="6659" width="14.5546875" customWidth="1"/>
    <col min="6660" max="6660" width="18" bestFit="1" customWidth="1"/>
    <col min="6661" max="6661" width="14" customWidth="1"/>
    <col min="6662" max="6662" width="17.33203125" customWidth="1"/>
    <col min="6663" max="6663" width="24.109375" customWidth="1"/>
    <col min="6664" max="6664" width="21.6640625" customWidth="1"/>
    <col min="6913" max="6913" width="37.88671875" customWidth="1"/>
    <col min="6914" max="6914" width="40.6640625" customWidth="1"/>
    <col min="6915" max="6915" width="14.5546875" customWidth="1"/>
    <col min="6916" max="6916" width="18" bestFit="1" customWidth="1"/>
    <col min="6917" max="6917" width="14" customWidth="1"/>
    <col min="6918" max="6918" width="17.33203125" customWidth="1"/>
    <col min="6919" max="6919" width="24.109375" customWidth="1"/>
    <col min="6920" max="6920" width="21.6640625" customWidth="1"/>
    <col min="7169" max="7169" width="37.88671875" customWidth="1"/>
    <col min="7170" max="7170" width="40.6640625" customWidth="1"/>
    <col min="7171" max="7171" width="14.5546875" customWidth="1"/>
    <col min="7172" max="7172" width="18" bestFit="1" customWidth="1"/>
    <col min="7173" max="7173" width="14" customWidth="1"/>
    <col min="7174" max="7174" width="17.33203125" customWidth="1"/>
    <col min="7175" max="7175" width="24.109375" customWidth="1"/>
    <col min="7176" max="7176" width="21.6640625" customWidth="1"/>
    <col min="7425" max="7425" width="37.88671875" customWidth="1"/>
    <col min="7426" max="7426" width="40.6640625" customWidth="1"/>
    <col min="7427" max="7427" width="14.5546875" customWidth="1"/>
    <col min="7428" max="7428" width="18" bestFit="1" customWidth="1"/>
    <col min="7429" max="7429" width="14" customWidth="1"/>
    <col min="7430" max="7430" width="17.33203125" customWidth="1"/>
    <col min="7431" max="7431" width="24.109375" customWidth="1"/>
    <col min="7432" max="7432" width="21.6640625" customWidth="1"/>
    <col min="7681" max="7681" width="37.88671875" customWidth="1"/>
    <col min="7682" max="7682" width="40.6640625" customWidth="1"/>
    <col min="7683" max="7683" width="14.5546875" customWidth="1"/>
    <col min="7684" max="7684" width="18" bestFit="1" customWidth="1"/>
    <col min="7685" max="7685" width="14" customWidth="1"/>
    <col min="7686" max="7686" width="17.33203125" customWidth="1"/>
    <col min="7687" max="7687" width="24.109375" customWidth="1"/>
    <col min="7688" max="7688" width="21.6640625" customWidth="1"/>
    <col min="7937" max="7937" width="37.88671875" customWidth="1"/>
    <col min="7938" max="7938" width="40.6640625" customWidth="1"/>
    <col min="7939" max="7939" width="14.5546875" customWidth="1"/>
    <col min="7940" max="7940" width="18" bestFit="1" customWidth="1"/>
    <col min="7941" max="7941" width="14" customWidth="1"/>
    <col min="7942" max="7942" width="17.33203125" customWidth="1"/>
    <col min="7943" max="7943" width="24.109375" customWidth="1"/>
    <col min="7944" max="7944" width="21.6640625" customWidth="1"/>
    <col min="8193" max="8193" width="37.88671875" customWidth="1"/>
    <col min="8194" max="8194" width="40.6640625" customWidth="1"/>
    <col min="8195" max="8195" width="14.5546875" customWidth="1"/>
    <col min="8196" max="8196" width="18" bestFit="1" customWidth="1"/>
    <col min="8197" max="8197" width="14" customWidth="1"/>
    <col min="8198" max="8198" width="17.33203125" customWidth="1"/>
    <col min="8199" max="8199" width="24.109375" customWidth="1"/>
    <col min="8200" max="8200" width="21.6640625" customWidth="1"/>
    <col min="8449" max="8449" width="37.88671875" customWidth="1"/>
    <col min="8450" max="8450" width="40.6640625" customWidth="1"/>
    <col min="8451" max="8451" width="14.5546875" customWidth="1"/>
    <col min="8452" max="8452" width="18" bestFit="1" customWidth="1"/>
    <col min="8453" max="8453" width="14" customWidth="1"/>
    <col min="8454" max="8454" width="17.33203125" customWidth="1"/>
    <col min="8455" max="8455" width="24.109375" customWidth="1"/>
    <col min="8456" max="8456" width="21.6640625" customWidth="1"/>
    <col min="8705" max="8705" width="37.88671875" customWidth="1"/>
    <col min="8706" max="8706" width="40.6640625" customWidth="1"/>
    <col min="8707" max="8707" width="14.5546875" customWidth="1"/>
    <col min="8708" max="8708" width="18" bestFit="1" customWidth="1"/>
    <col min="8709" max="8709" width="14" customWidth="1"/>
    <col min="8710" max="8710" width="17.33203125" customWidth="1"/>
    <col min="8711" max="8711" width="24.109375" customWidth="1"/>
    <col min="8712" max="8712" width="21.6640625" customWidth="1"/>
    <col min="8961" max="8961" width="37.88671875" customWidth="1"/>
    <col min="8962" max="8962" width="40.6640625" customWidth="1"/>
    <col min="8963" max="8963" width="14.5546875" customWidth="1"/>
    <col min="8964" max="8964" width="18" bestFit="1" customWidth="1"/>
    <col min="8965" max="8965" width="14" customWidth="1"/>
    <col min="8966" max="8966" width="17.33203125" customWidth="1"/>
    <col min="8967" max="8967" width="24.109375" customWidth="1"/>
    <col min="8968" max="8968" width="21.6640625" customWidth="1"/>
    <col min="9217" max="9217" width="37.88671875" customWidth="1"/>
    <col min="9218" max="9218" width="40.6640625" customWidth="1"/>
    <col min="9219" max="9219" width="14.5546875" customWidth="1"/>
    <col min="9220" max="9220" width="18" bestFit="1" customWidth="1"/>
    <col min="9221" max="9221" width="14" customWidth="1"/>
    <col min="9222" max="9222" width="17.33203125" customWidth="1"/>
    <col min="9223" max="9223" width="24.109375" customWidth="1"/>
    <col min="9224" max="9224" width="21.6640625" customWidth="1"/>
    <col min="9473" max="9473" width="37.88671875" customWidth="1"/>
    <col min="9474" max="9474" width="40.6640625" customWidth="1"/>
    <col min="9475" max="9475" width="14.5546875" customWidth="1"/>
    <col min="9476" max="9476" width="18" bestFit="1" customWidth="1"/>
    <col min="9477" max="9477" width="14" customWidth="1"/>
    <col min="9478" max="9478" width="17.33203125" customWidth="1"/>
    <col min="9479" max="9479" width="24.109375" customWidth="1"/>
    <col min="9480" max="9480" width="21.6640625" customWidth="1"/>
    <col min="9729" max="9729" width="37.88671875" customWidth="1"/>
    <col min="9730" max="9730" width="40.6640625" customWidth="1"/>
    <col min="9731" max="9731" width="14.5546875" customWidth="1"/>
    <col min="9732" max="9732" width="18" bestFit="1" customWidth="1"/>
    <col min="9733" max="9733" width="14" customWidth="1"/>
    <col min="9734" max="9734" width="17.33203125" customWidth="1"/>
    <col min="9735" max="9735" width="24.109375" customWidth="1"/>
    <col min="9736" max="9736" width="21.6640625" customWidth="1"/>
    <col min="9985" max="9985" width="37.88671875" customWidth="1"/>
    <col min="9986" max="9986" width="40.6640625" customWidth="1"/>
    <col min="9987" max="9987" width="14.5546875" customWidth="1"/>
    <col min="9988" max="9988" width="18" bestFit="1" customWidth="1"/>
    <col min="9989" max="9989" width="14" customWidth="1"/>
    <col min="9990" max="9990" width="17.33203125" customWidth="1"/>
    <col min="9991" max="9991" width="24.109375" customWidth="1"/>
    <col min="9992" max="9992" width="21.6640625" customWidth="1"/>
    <col min="10241" max="10241" width="37.88671875" customWidth="1"/>
    <col min="10242" max="10242" width="40.6640625" customWidth="1"/>
    <col min="10243" max="10243" width="14.5546875" customWidth="1"/>
    <col min="10244" max="10244" width="18" bestFit="1" customWidth="1"/>
    <col min="10245" max="10245" width="14" customWidth="1"/>
    <col min="10246" max="10246" width="17.33203125" customWidth="1"/>
    <col min="10247" max="10247" width="24.109375" customWidth="1"/>
    <col min="10248" max="10248" width="21.6640625" customWidth="1"/>
    <col min="10497" max="10497" width="37.88671875" customWidth="1"/>
    <col min="10498" max="10498" width="40.6640625" customWidth="1"/>
    <col min="10499" max="10499" width="14.5546875" customWidth="1"/>
    <col min="10500" max="10500" width="18" bestFit="1" customWidth="1"/>
    <col min="10501" max="10501" width="14" customWidth="1"/>
    <col min="10502" max="10502" width="17.33203125" customWidth="1"/>
    <col min="10503" max="10503" width="24.109375" customWidth="1"/>
    <col min="10504" max="10504" width="21.6640625" customWidth="1"/>
    <col min="10753" max="10753" width="37.88671875" customWidth="1"/>
    <col min="10754" max="10754" width="40.6640625" customWidth="1"/>
    <col min="10755" max="10755" width="14.5546875" customWidth="1"/>
    <col min="10756" max="10756" width="18" bestFit="1" customWidth="1"/>
    <col min="10757" max="10757" width="14" customWidth="1"/>
    <col min="10758" max="10758" width="17.33203125" customWidth="1"/>
    <col min="10759" max="10759" width="24.109375" customWidth="1"/>
    <col min="10760" max="10760" width="21.6640625" customWidth="1"/>
    <col min="11009" max="11009" width="37.88671875" customWidth="1"/>
    <col min="11010" max="11010" width="40.6640625" customWidth="1"/>
    <col min="11011" max="11011" width="14.5546875" customWidth="1"/>
    <col min="11012" max="11012" width="18" bestFit="1" customWidth="1"/>
    <col min="11013" max="11013" width="14" customWidth="1"/>
    <col min="11014" max="11014" width="17.33203125" customWidth="1"/>
    <col min="11015" max="11015" width="24.109375" customWidth="1"/>
    <col min="11016" max="11016" width="21.6640625" customWidth="1"/>
    <col min="11265" max="11265" width="37.88671875" customWidth="1"/>
    <col min="11266" max="11266" width="40.6640625" customWidth="1"/>
    <col min="11267" max="11267" width="14.5546875" customWidth="1"/>
    <col min="11268" max="11268" width="18" bestFit="1" customWidth="1"/>
    <col min="11269" max="11269" width="14" customWidth="1"/>
    <col min="11270" max="11270" width="17.33203125" customWidth="1"/>
    <col min="11271" max="11271" width="24.109375" customWidth="1"/>
    <col min="11272" max="11272" width="21.6640625" customWidth="1"/>
    <col min="11521" max="11521" width="37.88671875" customWidth="1"/>
    <col min="11522" max="11522" width="40.6640625" customWidth="1"/>
    <col min="11523" max="11523" width="14.5546875" customWidth="1"/>
    <col min="11524" max="11524" width="18" bestFit="1" customWidth="1"/>
    <col min="11525" max="11525" width="14" customWidth="1"/>
    <col min="11526" max="11526" width="17.33203125" customWidth="1"/>
    <col min="11527" max="11527" width="24.109375" customWidth="1"/>
    <col min="11528" max="11528" width="21.6640625" customWidth="1"/>
    <col min="11777" max="11777" width="37.88671875" customWidth="1"/>
    <col min="11778" max="11778" width="40.6640625" customWidth="1"/>
    <col min="11779" max="11779" width="14.5546875" customWidth="1"/>
    <col min="11780" max="11780" width="18" bestFit="1" customWidth="1"/>
    <col min="11781" max="11781" width="14" customWidth="1"/>
    <col min="11782" max="11782" width="17.33203125" customWidth="1"/>
    <col min="11783" max="11783" width="24.109375" customWidth="1"/>
    <col min="11784" max="11784" width="21.6640625" customWidth="1"/>
    <col min="12033" max="12033" width="37.88671875" customWidth="1"/>
    <col min="12034" max="12034" width="40.6640625" customWidth="1"/>
    <col min="12035" max="12035" width="14.5546875" customWidth="1"/>
    <col min="12036" max="12036" width="18" bestFit="1" customWidth="1"/>
    <col min="12037" max="12037" width="14" customWidth="1"/>
    <col min="12038" max="12038" width="17.33203125" customWidth="1"/>
    <col min="12039" max="12039" width="24.109375" customWidth="1"/>
    <col min="12040" max="12040" width="21.6640625" customWidth="1"/>
    <col min="12289" max="12289" width="37.88671875" customWidth="1"/>
    <col min="12290" max="12290" width="40.6640625" customWidth="1"/>
    <col min="12291" max="12291" width="14.5546875" customWidth="1"/>
    <col min="12292" max="12292" width="18" bestFit="1" customWidth="1"/>
    <col min="12293" max="12293" width="14" customWidth="1"/>
    <col min="12294" max="12294" width="17.33203125" customWidth="1"/>
    <col min="12295" max="12295" width="24.109375" customWidth="1"/>
    <col min="12296" max="12296" width="21.6640625" customWidth="1"/>
    <col min="12545" max="12545" width="37.88671875" customWidth="1"/>
    <col min="12546" max="12546" width="40.6640625" customWidth="1"/>
    <col min="12547" max="12547" width="14.5546875" customWidth="1"/>
    <col min="12548" max="12548" width="18" bestFit="1" customWidth="1"/>
    <col min="12549" max="12549" width="14" customWidth="1"/>
    <col min="12550" max="12550" width="17.33203125" customWidth="1"/>
    <col min="12551" max="12551" width="24.109375" customWidth="1"/>
    <col min="12552" max="12552" width="21.6640625" customWidth="1"/>
    <col min="12801" max="12801" width="37.88671875" customWidth="1"/>
    <col min="12802" max="12802" width="40.6640625" customWidth="1"/>
    <col min="12803" max="12803" width="14.5546875" customWidth="1"/>
    <col min="12804" max="12804" width="18" bestFit="1" customWidth="1"/>
    <col min="12805" max="12805" width="14" customWidth="1"/>
    <col min="12806" max="12806" width="17.33203125" customWidth="1"/>
    <col min="12807" max="12807" width="24.109375" customWidth="1"/>
    <col min="12808" max="12808" width="21.6640625" customWidth="1"/>
    <col min="13057" max="13057" width="37.88671875" customWidth="1"/>
    <col min="13058" max="13058" width="40.6640625" customWidth="1"/>
    <col min="13059" max="13059" width="14.5546875" customWidth="1"/>
    <col min="13060" max="13060" width="18" bestFit="1" customWidth="1"/>
    <col min="13061" max="13061" width="14" customWidth="1"/>
    <col min="13062" max="13062" width="17.33203125" customWidth="1"/>
    <col min="13063" max="13063" width="24.109375" customWidth="1"/>
    <col min="13064" max="13064" width="21.6640625" customWidth="1"/>
    <col min="13313" max="13313" width="37.88671875" customWidth="1"/>
    <col min="13314" max="13314" width="40.6640625" customWidth="1"/>
    <col min="13315" max="13315" width="14.5546875" customWidth="1"/>
    <col min="13316" max="13316" width="18" bestFit="1" customWidth="1"/>
    <col min="13317" max="13317" width="14" customWidth="1"/>
    <col min="13318" max="13318" width="17.33203125" customWidth="1"/>
    <col min="13319" max="13319" width="24.109375" customWidth="1"/>
    <col min="13320" max="13320" width="21.6640625" customWidth="1"/>
    <col min="13569" max="13569" width="37.88671875" customWidth="1"/>
    <col min="13570" max="13570" width="40.6640625" customWidth="1"/>
    <col min="13571" max="13571" width="14.5546875" customWidth="1"/>
    <col min="13572" max="13572" width="18" bestFit="1" customWidth="1"/>
    <col min="13573" max="13573" width="14" customWidth="1"/>
    <col min="13574" max="13574" width="17.33203125" customWidth="1"/>
    <col min="13575" max="13575" width="24.109375" customWidth="1"/>
    <col min="13576" max="13576" width="21.6640625" customWidth="1"/>
    <col min="13825" max="13825" width="37.88671875" customWidth="1"/>
    <col min="13826" max="13826" width="40.6640625" customWidth="1"/>
    <col min="13827" max="13827" width="14.5546875" customWidth="1"/>
    <col min="13828" max="13828" width="18" bestFit="1" customWidth="1"/>
    <col min="13829" max="13829" width="14" customWidth="1"/>
    <col min="13830" max="13830" width="17.33203125" customWidth="1"/>
    <col min="13831" max="13831" width="24.109375" customWidth="1"/>
    <col min="13832" max="13832" width="21.6640625" customWidth="1"/>
    <col min="14081" max="14081" width="37.88671875" customWidth="1"/>
    <col min="14082" max="14082" width="40.6640625" customWidth="1"/>
    <col min="14083" max="14083" width="14.5546875" customWidth="1"/>
    <col min="14084" max="14084" width="18" bestFit="1" customWidth="1"/>
    <col min="14085" max="14085" width="14" customWidth="1"/>
    <col min="14086" max="14086" width="17.33203125" customWidth="1"/>
    <col min="14087" max="14087" width="24.109375" customWidth="1"/>
    <col min="14088" max="14088" width="21.6640625" customWidth="1"/>
    <col min="14337" max="14337" width="37.88671875" customWidth="1"/>
    <col min="14338" max="14338" width="40.6640625" customWidth="1"/>
    <col min="14339" max="14339" width="14.5546875" customWidth="1"/>
    <col min="14340" max="14340" width="18" bestFit="1" customWidth="1"/>
    <col min="14341" max="14341" width="14" customWidth="1"/>
    <col min="14342" max="14342" width="17.33203125" customWidth="1"/>
    <col min="14343" max="14343" width="24.109375" customWidth="1"/>
    <col min="14344" max="14344" width="21.6640625" customWidth="1"/>
    <col min="14593" max="14593" width="37.88671875" customWidth="1"/>
    <col min="14594" max="14594" width="40.6640625" customWidth="1"/>
    <col min="14595" max="14595" width="14.5546875" customWidth="1"/>
    <col min="14596" max="14596" width="18" bestFit="1" customWidth="1"/>
    <col min="14597" max="14597" width="14" customWidth="1"/>
    <col min="14598" max="14598" width="17.33203125" customWidth="1"/>
    <col min="14599" max="14599" width="24.109375" customWidth="1"/>
    <col min="14600" max="14600" width="21.6640625" customWidth="1"/>
    <col min="14849" max="14849" width="37.88671875" customWidth="1"/>
    <col min="14850" max="14850" width="40.6640625" customWidth="1"/>
    <col min="14851" max="14851" width="14.5546875" customWidth="1"/>
    <col min="14852" max="14852" width="18" bestFit="1" customWidth="1"/>
    <col min="14853" max="14853" width="14" customWidth="1"/>
    <col min="14854" max="14854" width="17.33203125" customWidth="1"/>
    <col min="14855" max="14855" width="24.109375" customWidth="1"/>
    <col min="14856" max="14856" width="21.6640625" customWidth="1"/>
    <col min="15105" max="15105" width="37.88671875" customWidth="1"/>
    <col min="15106" max="15106" width="40.6640625" customWidth="1"/>
    <col min="15107" max="15107" width="14.5546875" customWidth="1"/>
    <col min="15108" max="15108" width="18" bestFit="1" customWidth="1"/>
    <col min="15109" max="15109" width="14" customWidth="1"/>
    <col min="15110" max="15110" width="17.33203125" customWidth="1"/>
    <col min="15111" max="15111" width="24.109375" customWidth="1"/>
    <col min="15112" max="15112" width="21.6640625" customWidth="1"/>
    <col min="15361" max="15361" width="37.88671875" customWidth="1"/>
    <col min="15362" max="15362" width="40.6640625" customWidth="1"/>
    <col min="15363" max="15363" width="14.5546875" customWidth="1"/>
    <col min="15364" max="15364" width="18" bestFit="1" customWidth="1"/>
    <col min="15365" max="15365" width="14" customWidth="1"/>
    <col min="15366" max="15366" width="17.33203125" customWidth="1"/>
    <col min="15367" max="15367" width="24.109375" customWidth="1"/>
    <col min="15368" max="15368" width="21.6640625" customWidth="1"/>
    <col min="15617" max="15617" width="37.88671875" customWidth="1"/>
    <col min="15618" max="15618" width="40.6640625" customWidth="1"/>
    <col min="15619" max="15619" width="14.5546875" customWidth="1"/>
    <col min="15620" max="15620" width="18" bestFit="1" customWidth="1"/>
    <col min="15621" max="15621" width="14" customWidth="1"/>
    <col min="15622" max="15622" width="17.33203125" customWidth="1"/>
    <col min="15623" max="15623" width="24.109375" customWidth="1"/>
    <col min="15624" max="15624" width="21.6640625" customWidth="1"/>
    <col min="15873" max="15873" width="37.88671875" customWidth="1"/>
    <col min="15874" max="15874" width="40.6640625" customWidth="1"/>
    <col min="15875" max="15875" width="14.5546875" customWidth="1"/>
    <col min="15876" max="15876" width="18" bestFit="1" customWidth="1"/>
    <col min="15877" max="15877" width="14" customWidth="1"/>
    <col min="15878" max="15878" width="17.33203125" customWidth="1"/>
    <col min="15879" max="15879" width="24.109375" customWidth="1"/>
    <col min="15880" max="15880" width="21.6640625" customWidth="1"/>
    <col min="16129" max="16129" width="37.88671875" customWidth="1"/>
    <col min="16130" max="16130" width="40.6640625" customWidth="1"/>
    <col min="16131" max="16131" width="14.5546875" customWidth="1"/>
    <col min="16132" max="16132" width="18" bestFit="1" customWidth="1"/>
    <col min="16133" max="16133" width="14" customWidth="1"/>
    <col min="16134" max="16134" width="17.33203125" customWidth="1"/>
    <col min="16135" max="16135" width="24.109375" customWidth="1"/>
    <col min="16136" max="16136" width="21.6640625" customWidth="1"/>
  </cols>
  <sheetData>
    <row r="1" spans="1:15" ht="13.8" x14ac:dyDescent="0.25">
      <c r="A1" s="326"/>
      <c r="B1" s="327"/>
      <c r="C1" s="328"/>
      <c r="D1" s="329"/>
      <c r="E1" s="13" t="s">
        <v>961</v>
      </c>
      <c r="F1" s="13"/>
      <c r="G1" s="13"/>
      <c r="H1" s="13"/>
      <c r="I1" s="13"/>
      <c r="J1" s="13"/>
      <c r="K1" s="13"/>
      <c r="L1" s="13"/>
      <c r="M1" s="13"/>
      <c r="N1" s="13"/>
      <c r="O1" s="13"/>
    </row>
    <row r="2" spans="1:15" x14ac:dyDescent="0.25">
      <c r="A2" s="326"/>
      <c r="B2" s="327"/>
      <c r="C2" s="328"/>
      <c r="D2" s="329"/>
      <c r="E2" s="329"/>
    </row>
    <row r="3" spans="1:15" x14ac:dyDescent="0.25">
      <c r="A3" s="611" t="s">
        <v>964</v>
      </c>
      <c r="B3" s="611"/>
      <c r="C3" s="611"/>
      <c r="D3" s="611"/>
      <c r="E3" s="611"/>
    </row>
    <row r="4" spans="1:15" x14ac:dyDescent="0.25">
      <c r="A4" s="326"/>
      <c r="B4" s="327"/>
      <c r="C4" s="328"/>
      <c r="D4" s="329"/>
      <c r="E4" s="329"/>
    </row>
    <row r="5" spans="1:15" x14ac:dyDescent="0.25">
      <c r="A5" s="326"/>
      <c r="B5" s="327"/>
      <c r="C5" s="328"/>
      <c r="D5" s="329"/>
      <c r="E5" s="329" t="s">
        <v>302</v>
      </c>
    </row>
    <row r="6" spans="1:15" ht="13.8" thickBot="1" x14ac:dyDescent="0.3">
      <c r="A6" s="236"/>
      <c r="B6" s="239"/>
      <c r="C6" s="240"/>
      <c r="D6" s="241"/>
      <c r="E6" s="242">
        <v>1</v>
      </c>
    </row>
    <row r="7" spans="1:15" ht="12.75" customHeight="1" x14ac:dyDescent="0.25">
      <c r="A7" s="606" t="s">
        <v>303</v>
      </c>
      <c r="B7" s="602" t="s">
        <v>304</v>
      </c>
      <c r="C7" s="614" t="s">
        <v>305</v>
      </c>
      <c r="D7" s="606" t="s">
        <v>306</v>
      </c>
      <c r="E7" s="606" t="s">
        <v>557</v>
      </c>
      <c r="G7" s="610"/>
    </row>
    <row r="8" spans="1:15" x14ac:dyDescent="0.25">
      <c r="A8" s="612"/>
      <c r="B8" s="613"/>
      <c r="C8" s="615"/>
      <c r="D8" s="612"/>
      <c r="E8" s="612"/>
      <c r="G8" s="610"/>
    </row>
    <row r="9" spans="1:15" s="335" customFormat="1" x14ac:dyDescent="0.25">
      <c r="A9" s="330" t="s">
        <v>558</v>
      </c>
      <c r="B9" s="331" t="s">
        <v>559</v>
      </c>
      <c r="C9" s="332" t="s">
        <v>313</v>
      </c>
      <c r="D9" s="333">
        <v>289179</v>
      </c>
      <c r="E9" s="334">
        <v>247650</v>
      </c>
    </row>
    <row r="10" spans="1:15" s="335" customFormat="1" x14ac:dyDescent="0.25">
      <c r="A10" s="330" t="s">
        <v>560</v>
      </c>
      <c r="B10" s="336" t="s">
        <v>561</v>
      </c>
      <c r="C10" s="337">
        <v>44958</v>
      </c>
      <c r="D10" s="333">
        <v>518160</v>
      </c>
      <c r="E10" s="334">
        <v>518160</v>
      </c>
    </row>
    <row r="11" spans="1:15" s="335" customFormat="1" ht="26.4" x14ac:dyDescent="0.25">
      <c r="A11" s="330" t="s">
        <v>562</v>
      </c>
      <c r="B11" s="338" t="s">
        <v>563</v>
      </c>
      <c r="C11" s="268" t="s">
        <v>313</v>
      </c>
      <c r="D11" s="333">
        <v>793592</v>
      </c>
      <c r="E11" s="334">
        <v>755802</v>
      </c>
    </row>
    <row r="12" spans="1:15" s="335" customFormat="1" ht="26.4" x14ac:dyDescent="0.25">
      <c r="A12" s="339" t="s">
        <v>564</v>
      </c>
      <c r="B12" s="340" t="s">
        <v>565</v>
      </c>
      <c r="C12" s="341" t="s">
        <v>566</v>
      </c>
      <c r="D12" s="333">
        <v>71200</v>
      </c>
      <c r="E12" s="334">
        <v>71200</v>
      </c>
    </row>
    <row r="13" spans="1:15" s="335" customFormat="1" ht="26.4" x14ac:dyDescent="0.25">
      <c r="A13" s="339" t="s">
        <v>564</v>
      </c>
      <c r="B13" s="340" t="s">
        <v>567</v>
      </c>
      <c r="C13" s="341" t="s">
        <v>566</v>
      </c>
      <c r="D13" s="333">
        <v>9600</v>
      </c>
      <c r="E13" s="334">
        <v>9600</v>
      </c>
    </row>
    <row r="14" spans="1:15" s="335" customFormat="1" x14ac:dyDescent="0.25">
      <c r="A14" s="330" t="s">
        <v>568</v>
      </c>
      <c r="B14" s="331" t="s">
        <v>569</v>
      </c>
      <c r="C14" s="332" t="s">
        <v>313</v>
      </c>
      <c r="D14" s="333">
        <v>1134364</v>
      </c>
      <c r="E14" s="334">
        <v>990600</v>
      </c>
    </row>
    <row r="15" spans="1:15" s="335" customFormat="1" x14ac:dyDescent="0.25">
      <c r="A15" s="330" t="s">
        <v>568</v>
      </c>
      <c r="B15" s="331" t="s">
        <v>570</v>
      </c>
      <c r="C15" s="337">
        <v>45107</v>
      </c>
      <c r="D15" s="333">
        <v>715823</v>
      </c>
      <c r="E15" s="334">
        <v>681736</v>
      </c>
      <c r="F15" s="342"/>
    </row>
    <row r="16" spans="1:15" s="335" customFormat="1" x14ac:dyDescent="0.25">
      <c r="A16" s="330" t="s">
        <v>571</v>
      </c>
      <c r="B16" s="331" t="s">
        <v>572</v>
      </c>
      <c r="C16" s="343" t="s">
        <v>313</v>
      </c>
      <c r="D16" s="333">
        <v>971056</v>
      </c>
      <c r="E16" s="334">
        <v>3789293</v>
      </c>
    </row>
    <row r="17" spans="1:6" s="335" customFormat="1" x14ac:dyDescent="0.25">
      <c r="A17" s="330" t="s">
        <v>573</v>
      </c>
      <c r="B17" s="331" t="s">
        <v>574</v>
      </c>
      <c r="C17" s="268" t="s">
        <v>313</v>
      </c>
      <c r="D17" s="333">
        <v>63000</v>
      </c>
      <c r="E17" s="334">
        <v>56000</v>
      </c>
    </row>
    <row r="18" spans="1:6" s="335" customFormat="1" x14ac:dyDescent="0.25">
      <c r="A18" s="283" t="s">
        <v>575</v>
      </c>
      <c r="B18" s="344" t="s">
        <v>576</v>
      </c>
      <c r="C18" s="332" t="s">
        <v>313</v>
      </c>
      <c r="D18" s="345">
        <v>625573</v>
      </c>
      <c r="E18" s="334">
        <v>595784</v>
      </c>
    </row>
    <row r="19" spans="1:6" s="335" customFormat="1" x14ac:dyDescent="0.25">
      <c r="A19" s="339" t="s">
        <v>577</v>
      </c>
      <c r="B19" s="346" t="s">
        <v>578</v>
      </c>
      <c r="C19" s="347" t="s">
        <v>313</v>
      </c>
      <c r="D19" s="345">
        <v>4642537</v>
      </c>
      <c r="E19" s="334">
        <v>3868781</v>
      </c>
    </row>
    <row r="20" spans="1:6" s="335" customFormat="1" x14ac:dyDescent="0.25">
      <c r="A20" s="339" t="s">
        <v>400</v>
      </c>
      <c r="B20" s="346" t="s">
        <v>579</v>
      </c>
      <c r="C20" s="347" t="s">
        <v>313</v>
      </c>
      <c r="D20" s="345">
        <v>2107121</v>
      </c>
      <c r="E20" s="348">
        <v>1755934</v>
      </c>
    </row>
    <row r="21" spans="1:6" s="335" customFormat="1" ht="26.4" x14ac:dyDescent="0.25">
      <c r="A21" s="339" t="s">
        <v>580</v>
      </c>
      <c r="B21" s="346" t="s">
        <v>581</v>
      </c>
      <c r="C21" s="319" t="s">
        <v>313</v>
      </c>
      <c r="D21" s="333">
        <v>50966</v>
      </c>
      <c r="E21" s="334">
        <v>49265</v>
      </c>
    </row>
    <row r="22" spans="1:6" s="335" customFormat="1" ht="26.4" x14ac:dyDescent="0.25">
      <c r="A22" s="339" t="s">
        <v>580</v>
      </c>
      <c r="B22" s="346" t="s">
        <v>582</v>
      </c>
      <c r="C22" s="319" t="s">
        <v>313</v>
      </c>
      <c r="D22" s="333">
        <v>167158</v>
      </c>
      <c r="E22" s="334">
        <v>159198</v>
      </c>
    </row>
    <row r="23" spans="1:6" s="335" customFormat="1" ht="26.4" x14ac:dyDescent="0.25">
      <c r="A23" s="339" t="s">
        <v>580</v>
      </c>
      <c r="B23" s="346" t="s">
        <v>583</v>
      </c>
      <c r="C23" s="319" t="s">
        <v>313</v>
      </c>
      <c r="D23" s="333">
        <v>500329</v>
      </c>
      <c r="E23" s="334">
        <v>267462</v>
      </c>
    </row>
    <row r="24" spans="1:6" s="335" customFormat="1" ht="26.4" x14ac:dyDescent="0.25">
      <c r="A24" s="339" t="s">
        <v>580</v>
      </c>
      <c r="B24" s="346" t="s">
        <v>584</v>
      </c>
      <c r="C24" s="319" t="s">
        <v>313</v>
      </c>
      <c r="D24" s="333">
        <v>368315</v>
      </c>
      <c r="E24" s="334">
        <v>350776</v>
      </c>
    </row>
    <row r="25" spans="1:6" s="335" customFormat="1" ht="26.4" x14ac:dyDescent="0.25">
      <c r="A25" s="339" t="s">
        <v>580</v>
      </c>
      <c r="B25" s="346" t="s">
        <v>585</v>
      </c>
      <c r="C25" s="319" t="s">
        <v>313</v>
      </c>
      <c r="D25" s="333">
        <v>53812</v>
      </c>
      <c r="E25" s="334">
        <v>123830</v>
      </c>
    </row>
    <row r="26" spans="1:6" s="335" customFormat="1" ht="26.4" x14ac:dyDescent="0.25">
      <c r="A26" s="339" t="s">
        <v>580</v>
      </c>
      <c r="B26" s="346" t="s">
        <v>586</v>
      </c>
      <c r="C26" s="319" t="s">
        <v>313</v>
      </c>
      <c r="D26" s="333">
        <v>253872</v>
      </c>
      <c r="E26" s="334">
        <v>241783</v>
      </c>
    </row>
    <row r="27" spans="1:6" s="335" customFormat="1" ht="26.4" x14ac:dyDescent="0.25">
      <c r="A27" s="349" t="s">
        <v>580</v>
      </c>
      <c r="B27" s="350" t="s">
        <v>587</v>
      </c>
      <c r="C27" s="273">
        <v>45382</v>
      </c>
      <c r="D27" s="351">
        <v>827761</v>
      </c>
      <c r="E27" s="276">
        <v>724197</v>
      </c>
    </row>
    <row r="28" spans="1:6" s="335" customFormat="1" x14ac:dyDescent="0.25">
      <c r="A28" s="352" t="s">
        <v>588</v>
      </c>
      <c r="B28" s="353" t="s">
        <v>589</v>
      </c>
      <c r="C28" s="337" t="s">
        <v>313</v>
      </c>
      <c r="D28" s="345">
        <v>466081</v>
      </c>
      <c r="E28" s="354">
        <v>466081</v>
      </c>
    </row>
    <row r="29" spans="1:6" ht="26.4" x14ac:dyDescent="0.25">
      <c r="A29" s="352" t="s">
        <v>590</v>
      </c>
      <c r="B29" s="338" t="s">
        <v>591</v>
      </c>
      <c r="C29" s="343" t="s">
        <v>313</v>
      </c>
      <c r="D29" s="345">
        <v>918495</v>
      </c>
      <c r="E29" s="355">
        <v>874757</v>
      </c>
    </row>
    <row r="30" spans="1:6" ht="26.4" x14ac:dyDescent="0.25">
      <c r="A30" s="352" t="s">
        <v>590</v>
      </c>
      <c r="B30" s="338" t="s">
        <v>592</v>
      </c>
      <c r="C30" s="343" t="s">
        <v>313</v>
      </c>
      <c r="D30" s="345">
        <v>495135</v>
      </c>
      <c r="E30" s="355">
        <v>471557</v>
      </c>
    </row>
    <row r="31" spans="1:6" ht="26.4" x14ac:dyDescent="0.25">
      <c r="A31" s="352" t="s">
        <v>590</v>
      </c>
      <c r="B31" s="338" t="s">
        <v>593</v>
      </c>
      <c r="C31" s="343" t="s">
        <v>313</v>
      </c>
      <c r="D31" s="345">
        <v>296090</v>
      </c>
      <c r="E31" s="355">
        <v>281990</v>
      </c>
    </row>
    <row r="32" spans="1:6" x14ac:dyDescent="0.25">
      <c r="A32" s="330" t="s">
        <v>594</v>
      </c>
      <c r="B32" s="331" t="s">
        <v>595</v>
      </c>
      <c r="C32" s="332" t="s">
        <v>313</v>
      </c>
      <c r="D32" s="356">
        <v>148599</v>
      </c>
      <c r="E32" s="334">
        <v>123063</v>
      </c>
      <c r="F32" s="45"/>
    </row>
    <row r="33" spans="1:10" ht="26.4" x14ac:dyDescent="0.25">
      <c r="A33" s="330" t="s">
        <v>596</v>
      </c>
      <c r="B33" s="331" t="s">
        <v>597</v>
      </c>
      <c r="C33" s="332" t="s">
        <v>313</v>
      </c>
      <c r="D33" s="333">
        <v>259080</v>
      </c>
      <c r="E33" s="334">
        <v>243840</v>
      </c>
      <c r="H33" s="45"/>
      <c r="J33" s="357"/>
    </row>
    <row r="34" spans="1:10" s="335" customFormat="1" ht="26.4" x14ac:dyDescent="0.25">
      <c r="A34" s="330" t="s">
        <v>598</v>
      </c>
      <c r="B34" s="331" t="s">
        <v>599</v>
      </c>
      <c r="C34" s="332" t="s">
        <v>313</v>
      </c>
      <c r="D34" s="345">
        <v>68116</v>
      </c>
      <c r="E34" s="334">
        <v>44428</v>
      </c>
    </row>
    <row r="35" spans="1:10" s="335" customFormat="1" x14ac:dyDescent="0.25">
      <c r="A35" s="330" t="s">
        <v>600</v>
      </c>
      <c r="B35" s="331" t="s">
        <v>601</v>
      </c>
      <c r="C35" s="332" t="s">
        <v>313</v>
      </c>
      <c r="D35" s="333">
        <v>304800</v>
      </c>
      <c r="E35" s="334">
        <v>279400</v>
      </c>
    </row>
    <row r="36" spans="1:10" s="335" customFormat="1" x14ac:dyDescent="0.25">
      <c r="A36" s="330" t="s">
        <v>602</v>
      </c>
      <c r="B36" s="331" t="s">
        <v>603</v>
      </c>
      <c r="C36" s="332" t="s">
        <v>313</v>
      </c>
      <c r="D36" s="333">
        <v>144000</v>
      </c>
      <c r="E36" s="334">
        <v>13200</v>
      </c>
    </row>
    <row r="37" spans="1:10" s="335" customFormat="1" x14ac:dyDescent="0.25">
      <c r="A37" s="330" t="s">
        <v>604</v>
      </c>
      <c r="B37" s="331" t="s">
        <v>605</v>
      </c>
      <c r="C37" s="268" t="s">
        <v>313</v>
      </c>
      <c r="D37" s="333">
        <v>178704</v>
      </c>
      <c r="E37" s="333">
        <v>178704</v>
      </c>
    </row>
    <row r="38" spans="1:10" s="358" customFormat="1" ht="26.4" x14ac:dyDescent="0.25">
      <c r="A38" s="330" t="s">
        <v>606</v>
      </c>
      <c r="B38" s="331" t="s">
        <v>607</v>
      </c>
      <c r="C38" s="268" t="s">
        <v>313</v>
      </c>
      <c r="D38" s="333">
        <v>91440</v>
      </c>
      <c r="E38" s="334">
        <v>91440</v>
      </c>
    </row>
    <row r="39" spans="1:10" s="335" customFormat="1" x14ac:dyDescent="0.25">
      <c r="A39" s="330" t="s">
        <v>608</v>
      </c>
      <c r="B39" s="331" t="s">
        <v>609</v>
      </c>
      <c r="C39" s="268" t="s">
        <v>313</v>
      </c>
      <c r="D39" s="345">
        <v>51120</v>
      </c>
      <c r="E39" s="334">
        <v>38880</v>
      </c>
    </row>
    <row r="40" spans="1:10" s="335" customFormat="1" x14ac:dyDescent="0.25">
      <c r="A40" s="330" t="s">
        <v>608</v>
      </c>
      <c r="B40" s="331" t="s">
        <v>610</v>
      </c>
      <c r="C40" s="268" t="s">
        <v>313</v>
      </c>
      <c r="D40" s="345">
        <v>12015365</v>
      </c>
      <c r="E40" s="334">
        <v>10012804</v>
      </c>
    </row>
    <row r="41" spans="1:10" s="335" customFormat="1" x14ac:dyDescent="0.25">
      <c r="A41" s="330" t="s">
        <v>459</v>
      </c>
      <c r="B41" s="331" t="s">
        <v>611</v>
      </c>
      <c r="C41" s="268" t="s">
        <v>313</v>
      </c>
      <c r="D41" s="345">
        <v>20903</v>
      </c>
      <c r="E41" s="334">
        <v>19908</v>
      </c>
    </row>
    <row r="42" spans="1:10" s="335" customFormat="1" x14ac:dyDescent="0.25">
      <c r="A42" s="330" t="s">
        <v>459</v>
      </c>
      <c r="B42" s="331" t="s">
        <v>612</v>
      </c>
      <c r="C42" s="268" t="s">
        <v>313</v>
      </c>
      <c r="D42" s="345">
        <v>506097</v>
      </c>
      <c r="E42" s="334">
        <v>482009</v>
      </c>
    </row>
    <row r="43" spans="1:10" s="335" customFormat="1" x14ac:dyDescent="0.25">
      <c r="A43" s="330" t="s">
        <v>459</v>
      </c>
      <c r="B43" s="331" t="s">
        <v>613</v>
      </c>
      <c r="C43" s="268" t="s">
        <v>313</v>
      </c>
      <c r="D43" s="333">
        <v>169316</v>
      </c>
      <c r="E43" s="334">
        <v>161253</v>
      </c>
    </row>
    <row r="44" spans="1:10" s="335" customFormat="1" ht="26.4" x14ac:dyDescent="0.25">
      <c r="A44" s="330" t="s">
        <v>614</v>
      </c>
      <c r="B44" s="331" t="s">
        <v>615</v>
      </c>
      <c r="C44" s="268" t="s">
        <v>313</v>
      </c>
      <c r="D44" s="345">
        <v>91746</v>
      </c>
      <c r="E44" s="334">
        <v>87377</v>
      </c>
    </row>
    <row r="45" spans="1:10" s="335" customFormat="1" ht="26.4" x14ac:dyDescent="0.25">
      <c r="A45" s="330" t="s">
        <v>616</v>
      </c>
      <c r="B45" s="331" t="s">
        <v>617</v>
      </c>
      <c r="C45" s="319" t="s">
        <v>313</v>
      </c>
      <c r="D45" s="333">
        <v>464736</v>
      </c>
      <c r="E45" s="334">
        <v>464736</v>
      </c>
    </row>
    <row r="46" spans="1:10" s="335" customFormat="1" x14ac:dyDescent="0.25">
      <c r="A46" s="330" t="s">
        <v>618</v>
      </c>
      <c r="B46" s="331" t="s">
        <v>619</v>
      </c>
      <c r="C46" s="319" t="s">
        <v>620</v>
      </c>
      <c r="D46" s="333">
        <v>987490</v>
      </c>
      <c r="E46" s="334">
        <v>987490</v>
      </c>
    </row>
    <row r="47" spans="1:10" s="335" customFormat="1" ht="26.4" x14ac:dyDescent="0.25">
      <c r="A47" s="330" t="s">
        <v>621</v>
      </c>
      <c r="B47" s="359" t="s">
        <v>622</v>
      </c>
      <c r="C47" s="319" t="s">
        <v>623</v>
      </c>
      <c r="D47" s="360">
        <v>133305</v>
      </c>
      <c r="E47" s="334">
        <v>121186</v>
      </c>
    </row>
    <row r="48" spans="1:10" s="335" customFormat="1" x14ac:dyDescent="0.25">
      <c r="A48" s="330" t="s">
        <v>621</v>
      </c>
      <c r="B48" s="359" t="s">
        <v>624</v>
      </c>
      <c r="C48" s="319" t="s">
        <v>620</v>
      </c>
      <c r="D48" s="361">
        <v>457349</v>
      </c>
      <c r="E48" s="361">
        <v>373346</v>
      </c>
    </row>
    <row r="49" spans="1:5" s="335" customFormat="1" x14ac:dyDescent="0.25">
      <c r="A49" s="330" t="s">
        <v>625</v>
      </c>
      <c r="B49" s="359" t="s">
        <v>626</v>
      </c>
      <c r="C49" s="332" t="s">
        <v>313</v>
      </c>
      <c r="D49" s="345">
        <v>170704</v>
      </c>
      <c r="E49" s="334">
        <v>155185</v>
      </c>
    </row>
    <row r="50" spans="1:5" s="335" customFormat="1" x14ac:dyDescent="0.25">
      <c r="A50" s="330" t="s">
        <v>627</v>
      </c>
      <c r="B50" s="359" t="s">
        <v>628</v>
      </c>
      <c r="C50" s="268" t="s">
        <v>313</v>
      </c>
      <c r="D50" s="345">
        <v>271576</v>
      </c>
      <c r="E50" s="334">
        <v>258644</v>
      </c>
    </row>
    <row r="51" spans="1:5" s="335" customFormat="1" x14ac:dyDescent="0.25">
      <c r="A51" s="330" t="s">
        <v>629</v>
      </c>
      <c r="B51" s="359" t="s">
        <v>630</v>
      </c>
      <c r="C51" s="268" t="s">
        <v>313</v>
      </c>
      <c r="D51" s="345">
        <v>5092008</v>
      </c>
      <c r="E51" s="334">
        <v>7241258</v>
      </c>
    </row>
    <row r="52" spans="1:5" s="335" customFormat="1" x14ac:dyDescent="0.25">
      <c r="A52" s="330" t="s">
        <v>631</v>
      </c>
      <c r="B52" s="359" t="s">
        <v>632</v>
      </c>
      <c r="C52" s="268" t="s">
        <v>313</v>
      </c>
      <c r="D52" s="345">
        <v>1218290</v>
      </c>
      <c r="E52" s="334">
        <v>807624</v>
      </c>
    </row>
    <row r="53" spans="1:5" s="335" customFormat="1" ht="26.4" x14ac:dyDescent="0.25">
      <c r="A53" s="330" t="s">
        <v>633</v>
      </c>
      <c r="B53" s="359" t="s">
        <v>634</v>
      </c>
      <c r="C53" s="268" t="s">
        <v>313</v>
      </c>
      <c r="D53" s="345">
        <v>2988600</v>
      </c>
      <c r="E53" s="334">
        <v>2837335</v>
      </c>
    </row>
    <row r="54" spans="1:5" s="335" customFormat="1" ht="26.4" x14ac:dyDescent="0.25">
      <c r="A54" s="330" t="s">
        <v>635</v>
      </c>
      <c r="B54" s="359" t="s">
        <v>636</v>
      </c>
      <c r="C54" s="268" t="s">
        <v>313</v>
      </c>
      <c r="D54" s="345">
        <v>2673939</v>
      </c>
      <c r="E54" s="334">
        <v>2377097</v>
      </c>
    </row>
    <row r="55" spans="1:5" s="335" customFormat="1" ht="26.4" x14ac:dyDescent="0.25">
      <c r="A55" s="330" t="s">
        <v>637</v>
      </c>
      <c r="B55" s="359" t="s">
        <v>638</v>
      </c>
      <c r="C55" s="268" t="s">
        <v>313</v>
      </c>
      <c r="D55" s="333">
        <v>120000</v>
      </c>
      <c r="E55" s="334">
        <v>120000</v>
      </c>
    </row>
    <row r="56" spans="1:5" s="335" customFormat="1" x14ac:dyDescent="0.25">
      <c r="A56" s="330" t="s">
        <v>639</v>
      </c>
      <c r="B56" s="359" t="s">
        <v>640</v>
      </c>
      <c r="C56" s="268" t="s">
        <v>620</v>
      </c>
      <c r="D56" s="333">
        <v>105600</v>
      </c>
      <c r="E56" s="334">
        <v>105600</v>
      </c>
    </row>
    <row r="57" spans="1:5" s="335" customFormat="1" x14ac:dyDescent="0.25">
      <c r="A57" s="330" t="s">
        <v>641</v>
      </c>
      <c r="B57" s="359" t="s">
        <v>642</v>
      </c>
      <c r="C57" s="268" t="s">
        <v>313</v>
      </c>
      <c r="D57" s="333">
        <v>217577</v>
      </c>
      <c r="E57" s="334">
        <v>199612</v>
      </c>
    </row>
    <row r="58" spans="1:5" s="335" customFormat="1" x14ac:dyDescent="0.25">
      <c r="A58" s="330" t="s">
        <v>643</v>
      </c>
      <c r="B58" s="359" t="s">
        <v>644</v>
      </c>
      <c r="C58" s="268" t="s">
        <v>313</v>
      </c>
      <c r="D58" s="345">
        <v>51005</v>
      </c>
      <c r="E58" s="334">
        <v>42504</v>
      </c>
    </row>
    <row r="59" spans="1:5" s="335" customFormat="1" x14ac:dyDescent="0.25">
      <c r="A59" s="330" t="s">
        <v>643</v>
      </c>
      <c r="B59" s="359" t="s">
        <v>645</v>
      </c>
      <c r="C59" s="268" t="s">
        <v>313</v>
      </c>
      <c r="D59" s="345">
        <v>92891</v>
      </c>
      <c r="E59" s="334">
        <v>77409</v>
      </c>
    </row>
    <row r="60" spans="1:5" s="335" customFormat="1" ht="26.4" x14ac:dyDescent="0.25">
      <c r="A60" s="330" t="s">
        <v>646</v>
      </c>
      <c r="B60" s="331" t="s">
        <v>647</v>
      </c>
      <c r="C60" s="268" t="s">
        <v>313</v>
      </c>
      <c r="D60" s="334">
        <v>1485000</v>
      </c>
      <c r="E60" s="334">
        <v>1155000</v>
      </c>
    </row>
    <row r="61" spans="1:5" s="335" customFormat="1" x14ac:dyDescent="0.25">
      <c r="A61" s="330" t="s">
        <v>648</v>
      </c>
      <c r="B61" s="331" t="s">
        <v>649</v>
      </c>
      <c r="C61" s="332" t="s">
        <v>650</v>
      </c>
      <c r="D61" s="333">
        <v>36000</v>
      </c>
      <c r="E61" s="334">
        <v>85500</v>
      </c>
    </row>
    <row r="62" spans="1:5" s="335" customFormat="1" x14ac:dyDescent="0.25">
      <c r="A62" s="330" t="s">
        <v>651</v>
      </c>
      <c r="B62" s="331" t="s">
        <v>652</v>
      </c>
      <c r="C62" s="362" t="s">
        <v>620</v>
      </c>
      <c r="D62" s="345">
        <v>1502846</v>
      </c>
      <c r="E62" s="334">
        <v>1378758</v>
      </c>
    </row>
    <row r="63" spans="1:5" s="335" customFormat="1" x14ac:dyDescent="0.25">
      <c r="A63" s="330" t="s">
        <v>653</v>
      </c>
      <c r="B63" s="331" t="s">
        <v>654</v>
      </c>
      <c r="C63" s="363" t="s">
        <v>313</v>
      </c>
      <c r="D63" s="345">
        <v>6485</v>
      </c>
      <c r="E63" s="334">
        <v>5895</v>
      </c>
    </row>
    <row r="64" spans="1:5" s="335" customFormat="1" ht="39.6" x14ac:dyDescent="0.25">
      <c r="A64" s="330" t="s">
        <v>653</v>
      </c>
      <c r="B64" s="364" t="s">
        <v>655</v>
      </c>
      <c r="C64" s="365">
        <v>45892</v>
      </c>
      <c r="D64" s="366">
        <v>622935</v>
      </c>
      <c r="E64" s="367">
        <v>207740</v>
      </c>
    </row>
    <row r="65" spans="1:5" ht="13.8" thickBot="1" x14ac:dyDescent="0.3">
      <c r="A65" s="320"/>
      <c r="B65" s="320"/>
      <c r="C65" s="368" t="s">
        <v>23</v>
      </c>
      <c r="D65" s="369">
        <f>SUM(D9:D64)</f>
        <v>49086841</v>
      </c>
      <c r="E65" s="369">
        <f>SUM(E9:E64)</f>
        <v>48129661</v>
      </c>
    </row>
    <row r="66" spans="1:5" x14ac:dyDescent="0.25">
      <c r="C66" s="370"/>
    </row>
    <row r="67" spans="1:5" x14ac:dyDescent="0.25">
      <c r="C67" s="370"/>
    </row>
    <row r="68" spans="1:5" x14ac:dyDescent="0.25">
      <c r="C68" s="370"/>
    </row>
    <row r="69" spans="1:5" x14ac:dyDescent="0.25">
      <c r="C69" s="370"/>
    </row>
    <row r="70" spans="1:5" x14ac:dyDescent="0.25">
      <c r="C70" s="240"/>
    </row>
    <row r="71" spans="1:5" x14ac:dyDescent="0.25">
      <c r="C71" s="240"/>
    </row>
    <row r="72" spans="1:5" x14ac:dyDescent="0.25">
      <c r="C72" s="240"/>
    </row>
    <row r="73" spans="1:5" x14ac:dyDescent="0.25">
      <c r="C73" s="240"/>
    </row>
    <row r="74" spans="1:5" x14ac:dyDescent="0.25">
      <c r="C74" s="238"/>
    </row>
    <row r="75" spans="1:5" x14ac:dyDescent="0.25">
      <c r="C75" s="238"/>
    </row>
    <row r="76" spans="1:5" x14ac:dyDescent="0.25">
      <c r="C76" s="238"/>
    </row>
    <row r="77" spans="1:5" x14ac:dyDescent="0.25">
      <c r="C77" s="238"/>
    </row>
    <row r="78" spans="1:5" x14ac:dyDescent="0.25">
      <c r="C78" s="238"/>
    </row>
    <row r="79" spans="1:5" x14ac:dyDescent="0.25">
      <c r="C79" s="238"/>
    </row>
    <row r="80" spans="1:5" x14ac:dyDescent="0.25">
      <c r="C80" s="238"/>
    </row>
    <row r="81" spans="3:3" x14ac:dyDescent="0.25">
      <c r="C81" s="238"/>
    </row>
    <row r="82" spans="3:3" x14ac:dyDescent="0.25">
      <c r="C82" s="238"/>
    </row>
    <row r="83" spans="3:3" x14ac:dyDescent="0.25">
      <c r="C83" s="238"/>
    </row>
    <row r="84" spans="3:3" x14ac:dyDescent="0.25">
      <c r="C84" s="238"/>
    </row>
    <row r="85" spans="3:3" x14ac:dyDescent="0.25">
      <c r="C85" s="238"/>
    </row>
    <row r="86" spans="3:3" x14ac:dyDescent="0.25">
      <c r="C86" s="238"/>
    </row>
    <row r="87" spans="3:3" x14ac:dyDescent="0.25">
      <c r="C87" s="238"/>
    </row>
    <row r="88" spans="3:3" x14ac:dyDescent="0.25">
      <c r="C88" s="238"/>
    </row>
    <row r="89" spans="3:3" x14ac:dyDescent="0.25">
      <c r="C89" s="238"/>
    </row>
    <row r="90" spans="3:3" x14ac:dyDescent="0.25">
      <c r="C90" s="238"/>
    </row>
    <row r="91" spans="3:3" x14ac:dyDescent="0.25">
      <c r="C91" s="238"/>
    </row>
    <row r="92" spans="3:3" x14ac:dyDescent="0.25">
      <c r="C92" s="238"/>
    </row>
    <row r="93" spans="3:3" x14ac:dyDescent="0.25">
      <c r="C93" s="238"/>
    </row>
    <row r="94" spans="3:3" x14ac:dyDescent="0.25">
      <c r="C94" s="241"/>
    </row>
    <row r="95" spans="3:3" x14ac:dyDescent="0.25">
      <c r="C95" s="241"/>
    </row>
    <row r="96" spans="3:3" x14ac:dyDescent="0.25">
      <c r="C96" s="241"/>
    </row>
    <row r="97" spans="3:3" x14ac:dyDescent="0.25">
      <c r="C97" s="241"/>
    </row>
    <row r="98" spans="3:3" x14ac:dyDescent="0.25">
      <c r="C98" s="241"/>
    </row>
    <row r="99" spans="3:3" x14ac:dyDescent="0.25">
      <c r="C99" s="241"/>
    </row>
    <row r="100" spans="3:3" x14ac:dyDescent="0.25">
      <c r="C100" s="241"/>
    </row>
    <row r="101" spans="3:3" x14ac:dyDescent="0.25">
      <c r="C101" s="241"/>
    </row>
    <row r="102" spans="3:3" x14ac:dyDescent="0.25">
      <c r="C102" s="241"/>
    </row>
    <row r="103" spans="3:3" x14ac:dyDescent="0.25">
      <c r="C103" s="241"/>
    </row>
    <row r="104" spans="3:3" x14ac:dyDescent="0.25">
      <c r="C104" s="241"/>
    </row>
    <row r="105" spans="3:3" x14ac:dyDescent="0.25">
      <c r="C105" s="241"/>
    </row>
    <row r="106" spans="3:3" x14ac:dyDescent="0.25">
      <c r="C106" s="241"/>
    </row>
    <row r="107" spans="3:3" x14ac:dyDescent="0.25">
      <c r="C107" s="241"/>
    </row>
    <row r="108" spans="3:3" x14ac:dyDescent="0.25">
      <c r="C108" s="241"/>
    </row>
    <row r="109" spans="3:3" x14ac:dyDescent="0.25">
      <c r="C109" s="241"/>
    </row>
    <row r="110" spans="3:3" x14ac:dyDescent="0.25">
      <c r="C110" s="241"/>
    </row>
    <row r="111" spans="3:3" x14ac:dyDescent="0.25">
      <c r="C111" s="241"/>
    </row>
    <row r="112" spans="3:3" x14ac:dyDescent="0.25">
      <c r="C112" s="241"/>
    </row>
    <row r="113" spans="3:3" x14ac:dyDescent="0.25">
      <c r="C113" s="241"/>
    </row>
    <row r="114" spans="3:3" x14ac:dyDescent="0.25">
      <c r="C114" s="241"/>
    </row>
    <row r="115" spans="3:3" x14ac:dyDescent="0.25">
      <c r="C115" s="241"/>
    </row>
    <row r="116" spans="3:3" x14ac:dyDescent="0.25">
      <c r="C116" s="241"/>
    </row>
    <row r="117" spans="3:3" x14ac:dyDescent="0.25">
      <c r="C117" s="241"/>
    </row>
    <row r="118" spans="3:3" x14ac:dyDescent="0.25">
      <c r="C118" s="241"/>
    </row>
    <row r="119" spans="3:3" x14ac:dyDescent="0.25">
      <c r="C119" s="241"/>
    </row>
    <row r="120" spans="3:3" x14ac:dyDescent="0.25">
      <c r="C120" s="241"/>
    </row>
    <row r="121" spans="3:3" x14ac:dyDescent="0.25">
      <c r="C121" s="241"/>
    </row>
    <row r="122" spans="3:3" x14ac:dyDescent="0.25">
      <c r="C122" s="241"/>
    </row>
    <row r="123" spans="3:3" x14ac:dyDescent="0.25">
      <c r="C123" s="241"/>
    </row>
    <row r="124" spans="3:3" x14ac:dyDescent="0.25">
      <c r="C124" s="241"/>
    </row>
    <row r="125" spans="3:3" x14ac:dyDescent="0.25">
      <c r="C125" s="241"/>
    </row>
    <row r="126" spans="3:3" ht="13.8" x14ac:dyDescent="0.3">
      <c r="C126" s="371"/>
    </row>
    <row r="127" spans="3:3" x14ac:dyDescent="0.25">
      <c r="C127" s="241"/>
    </row>
    <row r="128" spans="3:3" x14ac:dyDescent="0.25">
      <c r="C128" s="241"/>
    </row>
    <row r="129" spans="3:4" x14ac:dyDescent="0.25">
      <c r="C129" s="241"/>
    </row>
    <row r="130" spans="3:4" x14ac:dyDescent="0.25">
      <c r="C130" s="241"/>
    </row>
    <row r="131" spans="3:4" x14ac:dyDescent="0.25">
      <c r="C131" s="241"/>
    </row>
    <row r="132" spans="3:4" x14ac:dyDescent="0.25">
      <c r="C132" s="241"/>
    </row>
    <row r="133" spans="3:4" ht="13.8" x14ac:dyDescent="0.3">
      <c r="D133" s="372"/>
    </row>
  </sheetData>
  <mergeCells count="7">
    <mergeCell ref="G7:G8"/>
    <mergeCell ref="A3:E3"/>
    <mergeCell ref="A7:A8"/>
    <mergeCell ref="B7:B8"/>
    <mergeCell ref="C7:C8"/>
    <mergeCell ref="D7:D8"/>
    <mergeCell ref="E7:E8"/>
  </mergeCells>
  <pageMargins left="0.70866141732283472" right="0.70866141732283472"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15</vt:i4>
      </vt:variant>
      <vt:variant>
        <vt:lpstr>Névvel ellátott tartományok</vt:lpstr>
      </vt:variant>
      <vt:variant>
        <vt:i4>12</vt:i4>
      </vt:variant>
    </vt:vector>
  </HeadingPairs>
  <TitlesOfParts>
    <vt:vector size="27" baseType="lpstr">
      <vt:lpstr>1. melléklet</vt:lpstr>
      <vt:lpstr>2. mell. 1. pont</vt:lpstr>
      <vt:lpstr>2. mell. 2. pont</vt:lpstr>
      <vt:lpstr>3. melléklet</vt:lpstr>
      <vt:lpstr>4. melléklet</vt:lpstr>
      <vt:lpstr>5.mell. 1. pont hitelek</vt:lpstr>
      <vt:lpstr>5.mell. 2. pont kezességv.</vt:lpstr>
      <vt:lpstr>5.mell. 3. pont szerződések-Önk</vt:lpstr>
      <vt:lpstr>5.mell. 4. pont szerződések-KÖH</vt:lpstr>
      <vt:lpstr>6. melléklet</vt:lpstr>
      <vt:lpstr>7. melléklet</vt:lpstr>
      <vt:lpstr>8. melléklet</vt:lpstr>
      <vt:lpstr>9 melléklet</vt:lpstr>
      <vt:lpstr>10. melléklet</vt:lpstr>
      <vt:lpstr>11. melléklet EU-s</vt:lpstr>
      <vt:lpstr>'2. mell. 2. pont'!Nyomtatási_cím</vt:lpstr>
      <vt:lpstr>'5.mell. 3. pont szerződések-Önk'!Nyomtatási_cím</vt:lpstr>
      <vt:lpstr>'1. melléklet'!Nyomtatási_terület</vt:lpstr>
      <vt:lpstr>'11. melléklet EU-s'!Nyomtatási_terület</vt:lpstr>
      <vt:lpstr>'2. mell. 1. pont'!Nyomtatási_terület</vt:lpstr>
      <vt:lpstr>'2. mell. 2. pont'!Nyomtatási_terület</vt:lpstr>
      <vt:lpstr>'4. melléklet'!Nyomtatási_terület</vt:lpstr>
      <vt:lpstr>'5.mell. 2. pont kezességv.'!Nyomtatási_terület</vt:lpstr>
      <vt:lpstr>'5.mell. 3. pont szerződések-Önk'!Nyomtatási_terület</vt:lpstr>
      <vt:lpstr>'5.mell. 4. pont szerződések-KÖH'!Nyomtatási_terület</vt:lpstr>
      <vt:lpstr>'6. melléklet'!Nyomtatási_terület</vt:lpstr>
      <vt:lpstr>'8. melléklet'!Nyomtatási_terület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Gábor Viktória</cp:lastModifiedBy>
  <cp:lastPrinted>2023-02-15T15:23:37Z</cp:lastPrinted>
  <dcterms:created xsi:type="dcterms:W3CDTF">2009-01-15T09:14:34Z</dcterms:created>
  <dcterms:modified xsi:type="dcterms:W3CDTF">2023-02-15T15:23:58Z</dcterms:modified>
</cp:coreProperties>
</file>