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Z:\Onkormanyzati-iroda\Új struktúra\Testületi gép 2021.02.08\Testület\2023. évi előterjesztések\2023.09.28. rendes\ülés után\24-2023 költségvetés módosítás\"/>
    </mc:Choice>
  </mc:AlternateContent>
  <xr:revisionPtr revIDLastSave="0" documentId="13_ncr:1_{BB2F9EAF-7C3B-4A8D-B002-3FBD98F1DC92}" xr6:coauthVersionLast="47" xr6:coauthVersionMax="47" xr10:uidLastSave="{00000000-0000-0000-0000-000000000000}"/>
  <bookViews>
    <workbookView xWindow="-120" yWindow="-120" windowWidth="29040" windowHeight="15840" tabRatio="889" xr2:uid="{00000000-000D-0000-FFFF-FFFF00000000}"/>
  </bookViews>
  <sheets>
    <sheet name="1. melléklet" sheetId="297" r:id="rId1"/>
    <sheet name="2. mell. 1. pont" sheetId="298" r:id="rId2"/>
    <sheet name="2. mell. 2. pont" sheetId="294" r:id="rId3"/>
    <sheet name="3. melléklet" sheetId="291" r:id="rId4"/>
    <sheet name="4. melléklet" sheetId="299" r:id="rId5"/>
    <sheet name="5.mell. 1. pont hitelek" sheetId="281" r:id="rId6"/>
    <sheet name="5.mell. 2. pont kezességv." sheetId="282" r:id="rId7"/>
    <sheet name="5.mell. 3. pont szerződések-Önk" sheetId="283" r:id="rId8"/>
    <sheet name="5.mell. 4. pont szerződések-KÖH" sheetId="284" r:id="rId9"/>
    <sheet name="6. melléklet" sheetId="285" r:id="rId10"/>
    <sheet name="7. melléklet" sheetId="286" r:id="rId11"/>
    <sheet name="8. melléklet" sheetId="287" r:id="rId12"/>
    <sheet name="9 melléklet" sheetId="288" r:id="rId13"/>
    <sheet name="10. melléklet" sheetId="289" r:id="rId14"/>
    <sheet name="11. melléklet" sheetId="296" r:id="rId15"/>
  </sheets>
  <externalReferences>
    <externalReference r:id="rId16"/>
  </externalReferences>
  <definedNames>
    <definedName name="_xlnm.Print_Titles" localSheetId="2">'2. mell. 2. pont'!$6:$6</definedName>
    <definedName name="_xlnm.Print_Titles" localSheetId="7">'5.mell. 3. pont szerződések-Önk'!$1:$8</definedName>
    <definedName name="_xlnm.Print_Area" localSheetId="0">'1. melléklet'!$A$1:$S$201</definedName>
    <definedName name="_xlnm.Print_Area" localSheetId="14">'11. melléklet'!$A$1:$I$187</definedName>
    <definedName name="_xlnm.Print_Area" localSheetId="1">'2. mell. 1. pont'!$A$1:$S$271</definedName>
    <definedName name="_xlnm.Print_Area" localSheetId="2">'2. mell. 2. pont'!$A$1:$S$12</definedName>
    <definedName name="_xlnm.Print_Area" localSheetId="4">'4. melléklet'!$A$1:$K$32</definedName>
    <definedName name="_xlnm.Print_Area" localSheetId="6">'5.mell. 2. pont kezességv.'!$A$1:$K$13</definedName>
    <definedName name="_xlnm.Print_Area" localSheetId="7">'5.mell. 3. pont szerződések-Önk'!$A$1:$E$146</definedName>
    <definedName name="_xlnm.Print_Area" localSheetId="8">'5.mell. 4. pont szerződések-KÖH'!$A$1:$E$65</definedName>
    <definedName name="_xlnm.Print_Area" localSheetId="9">'6. melléklet'!$A$1:$D$46</definedName>
    <definedName name="_xlnm.Print_Area" localSheetId="11">'8. melléklet'!$A$1:$O$40</definedName>
  </definedNames>
  <calcPr calcId="181029"/>
</workbook>
</file>

<file path=xl/calcChain.xml><?xml version="1.0" encoding="utf-8"?>
<calcChain xmlns="http://schemas.openxmlformats.org/spreadsheetml/2006/main">
  <c r="I29" i="299" l="1"/>
  <c r="H29" i="299"/>
  <c r="C29" i="299"/>
  <c r="B29" i="299"/>
  <c r="K26" i="299"/>
  <c r="J26" i="299"/>
  <c r="E26" i="299"/>
  <c r="D26" i="299"/>
  <c r="E25" i="299"/>
  <c r="D25" i="299"/>
  <c r="K24" i="299"/>
  <c r="J24" i="299"/>
  <c r="E24" i="299"/>
  <c r="D24" i="299"/>
  <c r="K23" i="299"/>
  <c r="J23" i="299"/>
  <c r="E23" i="299"/>
  <c r="D23" i="299"/>
  <c r="K22" i="299"/>
  <c r="J22" i="299"/>
  <c r="K21" i="299"/>
  <c r="K29" i="299" s="1"/>
  <c r="J21" i="299"/>
  <c r="J29" i="299" s="1"/>
  <c r="E21" i="299"/>
  <c r="E29" i="299" s="1"/>
  <c r="D21" i="299"/>
  <c r="D29" i="299" s="1"/>
  <c r="I19" i="299"/>
  <c r="I32" i="299" s="1"/>
  <c r="H19" i="299"/>
  <c r="H32" i="299" s="1"/>
  <c r="C19" i="299"/>
  <c r="C32" i="299" s="1"/>
  <c r="B19" i="299"/>
  <c r="B32" i="299" s="1"/>
  <c r="K17" i="299"/>
  <c r="J17" i="299"/>
  <c r="E17" i="299"/>
  <c r="K16" i="299"/>
  <c r="E16" i="299"/>
  <c r="K15" i="299"/>
  <c r="J15" i="299"/>
  <c r="E15" i="299"/>
  <c r="D15" i="299"/>
  <c r="E14" i="299"/>
  <c r="D14" i="299"/>
  <c r="K13" i="299"/>
  <c r="J13" i="299"/>
  <c r="E13" i="299"/>
  <c r="D13" i="299"/>
  <c r="K12" i="299"/>
  <c r="J12" i="299"/>
  <c r="E12" i="299"/>
  <c r="D12" i="299"/>
  <c r="K11" i="299"/>
  <c r="J11" i="299"/>
  <c r="E11" i="299"/>
  <c r="D11" i="299"/>
  <c r="K10" i="299"/>
  <c r="J10" i="299"/>
  <c r="E10" i="299"/>
  <c r="D10" i="299"/>
  <c r="K9" i="299"/>
  <c r="K19" i="299" s="1"/>
  <c r="K32" i="299" s="1"/>
  <c r="J9" i="299"/>
  <c r="J19" i="299" s="1"/>
  <c r="E9" i="299"/>
  <c r="E19" i="299" s="1"/>
  <c r="E32" i="299" s="1"/>
  <c r="D9" i="299"/>
  <c r="D19" i="299" s="1"/>
  <c r="S268" i="298"/>
  <c r="R268" i="298"/>
  <c r="Q268" i="298"/>
  <c r="P268" i="298"/>
  <c r="O266" i="298"/>
  <c r="S266" i="298" s="1"/>
  <c r="N266" i="298"/>
  <c r="R266" i="298" s="1"/>
  <c r="M266" i="298"/>
  <c r="Q266" i="298" s="1"/>
  <c r="L266" i="298"/>
  <c r="P266" i="298" s="1"/>
  <c r="G266" i="298"/>
  <c r="F266" i="298"/>
  <c r="E266" i="298"/>
  <c r="D266" i="298"/>
  <c r="S265" i="298"/>
  <c r="R265" i="298"/>
  <c r="Q265" i="298"/>
  <c r="P265" i="298"/>
  <c r="S264" i="298"/>
  <c r="R264" i="298"/>
  <c r="Q264" i="298"/>
  <c r="P264" i="298"/>
  <c r="S263" i="298"/>
  <c r="R263" i="298"/>
  <c r="Q263" i="298"/>
  <c r="P263" i="298"/>
  <c r="O255" i="298"/>
  <c r="S255" i="298" s="1"/>
  <c r="N255" i="298"/>
  <c r="R255" i="298" s="1"/>
  <c r="M255" i="298"/>
  <c r="Q255" i="298" s="1"/>
  <c r="L255" i="298"/>
  <c r="P255" i="298" s="1"/>
  <c r="G255" i="298"/>
  <c r="F255" i="298"/>
  <c r="E255" i="298"/>
  <c r="D255" i="298"/>
  <c r="S253" i="298"/>
  <c r="R253" i="298"/>
  <c r="Q253" i="298"/>
  <c r="P253" i="298"/>
  <c r="S252" i="298"/>
  <c r="R252" i="298"/>
  <c r="Q252" i="298"/>
  <c r="P252" i="298"/>
  <c r="O249" i="298"/>
  <c r="S249" i="298" s="1"/>
  <c r="N249" i="298"/>
  <c r="R249" i="298" s="1"/>
  <c r="M249" i="298"/>
  <c r="Q249" i="298" s="1"/>
  <c r="L249" i="298"/>
  <c r="P249" i="298" s="1"/>
  <c r="G249" i="298"/>
  <c r="F249" i="298"/>
  <c r="E249" i="298"/>
  <c r="D249" i="298"/>
  <c r="S247" i="298"/>
  <c r="R247" i="298"/>
  <c r="Q247" i="298"/>
  <c r="P247" i="298"/>
  <c r="S246" i="298"/>
  <c r="R246" i="298"/>
  <c r="Q246" i="298"/>
  <c r="P246" i="298"/>
  <c r="O243" i="298"/>
  <c r="O257" i="298" s="1"/>
  <c r="S257" i="298" s="1"/>
  <c r="N243" i="298"/>
  <c r="N257" i="298" s="1"/>
  <c r="R257" i="298" s="1"/>
  <c r="M243" i="298"/>
  <c r="M257" i="298" s="1"/>
  <c r="Q257" i="298" s="1"/>
  <c r="L243" i="298"/>
  <c r="L257" i="298" s="1"/>
  <c r="P257" i="298" s="1"/>
  <c r="G243" i="298"/>
  <c r="G257" i="298" s="1"/>
  <c r="F243" i="298"/>
  <c r="F257" i="298" s="1"/>
  <c r="E243" i="298"/>
  <c r="E257" i="298" s="1"/>
  <c r="D243" i="298"/>
  <c r="D257" i="298" s="1"/>
  <c r="S241" i="298"/>
  <c r="R241" i="298"/>
  <c r="Q241" i="298"/>
  <c r="P241" i="298"/>
  <c r="O237" i="298"/>
  <c r="S237" i="298" s="1"/>
  <c r="N237" i="298"/>
  <c r="R237" i="298" s="1"/>
  <c r="M237" i="298"/>
  <c r="Q237" i="298" s="1"/>
  <c r="L237" i="298"/>
  <c r="P237" i="298" s="1"/>
  <c r="G237" i="298"/>
  <c r="F237" i="298"/>
  <c r="E237" i="298"/>
  <c r="D237" i="298"/>
  <c r="S235" i="298"/>
  <c r="R235" i="298"/>
  <c r="Q235" i="298"/>
  <c r="P235" i="298"/>
  <c r="S234" i="298"/>
  <c r="R234" i="298"/>
  <c r="Q234" i="298"/>
  <c r="P234" i="298"/>
  <c r="S233" i="298"/>
  <c r="R233" i="298"/>
  <c r="Q233" i="298"/>
  <c r="P233" i="298"/>
  <c r="S232" i="298"/>
  <c r="R232" i="298"/>
  <c r="Q232" i="298"/>
  <c r="P232" i="298"/>
  <c r="S231" i="298"/>
  <c r="R231" i="298"/>
  <c r="Q231" i="298"/>
  <c r="P231" i="298"/>
  <c r="S230" i="298"/>
  <c r="R230" i="298"/>
  <c r="Q230" i="298"/>
  <c r="P230" i="298"/>
  <c r="S229" i="298"/>
  <c r="R229" i="298"/>
  <c r="Q229" i="298"/>
  <c r="P229" i="298"/>
  <c r="S228" i="298"/>
  <c r="R228" i="298"/>
  <c r="Q228" i="298"/>
  <c r="P228" i="298"/>
  <c r="S227" i="298"/>
  <c r="R227" i="298"/>
  <c r="Q227" i="298"/>
  <c r="P227" i="298"/>
  <c r="S226" i="298"/>
  <c r="R226" i="298"/>
  <c r="Q226" i="298"/>
  <c r="P226" i="298"/>
  <c r="S225" i="298"/>
  <c r="R225" i="298"/>
  <c r="Q225" i="298"/>
  <c r="P225" i="298"/>
  <c r="S224" i="298"/>
  <c r="R224" i="298"/>
  <c r="Q224" i="298"/>
  <c r="P224" i="298"/>
  <c r="O221" i="298"/>
  <c r="S221" i="298" s="1"/>
  <c r="N221" i="298"/>
  <c r="R221" i="298" s="1"/>
  <c r="M221" i="298"/>
  <c r="Q221" i="298" s="1"/>
  <c r="L221" i="298"/>
  <c r="P221" i="298" s="1"/>
  <c r="G221" i="298"/>
  <c r="F221" i="298"/>
  <c r="E221" i="298"/>
  <c r="D221" i="298"/>
  <c r="S219" i="298"/>
  <c r="R219" i="298"/>
  <c r="Q219" i="298"/>
  <c r="P219" i="298"/>
  <c r="S218" i="298"/>
  <c r="R218" i="298"/>
  <c r="Q218" i="298"/>
  <c r="P218" i="298"/>
  <c r="S217" i="298"/>
  <c r="R217" i="298"/>
  <c r="Q217" i="298"/>
  <c r="P217" i="298"/>
  <c r="S216" i="298"/>
  <c r="R216" i="298"/>
  <c r="Q216" i="298"/>
  <c r="P216" i="298"/>
  <c r="S215" i="298"/>
  <c r="R215" i="298"/>
  <c r="Q215" i="298"/>
  <c r="P215" i="298"/>
  <c r="S214" i="298"/>
  <c r="R214" i="298"/>
  <c r="Q214" i="298"/>
  <c r="P214" i="298"/>
  <c r="S213" i="298"/>
  <c r="R213" i="298"/>
  <c r="Q213" i="298"/>
  <c r="P213" i="298"/>
  <c r="S212" i="298"/>
  <c r="R212" i="298"/>
  <c r="Q212" i="298"/>
  <c r="P212" i="298"/>
  <c r="S211" i="298"/>
  <c r="R211" i="298"/>
  <c r="Q211" i="298"/>
  <c r="P211" i="298"/>
  <c r="S210" i="298"/>
  <c r="R210" i="298"/>
  <c r="Q210" i="298"/>
  <c r="P210" i="298"/>
  <c r="S209" i="298"/>
  <c r="R209" i="298"/>
  <c r="Q209" i="298"/>
  <c r="P209" i="298"/>
  <c r="S208" i="298"/>
  <c r="R208" i="298"/>
  <c r="Q208" i="298"/>
  <c r="P208" i="298"/>
  <c r="S207" i="298"/>
  <c r="R207" i="298"/>
  <c r="Q207" i="298"/>
  <c r="P207" i="298"/>
  <c r="S206" i="298"/>
  <c r="R206" i="298"/>
  <c r="Q206" i="298"/>
  <c r="P206" i="298"/>
  <c r="S205" i="298"/>
  <c r="R205" i="298"/>
  <c r="Q205" i="298"/>
  <c r="P205" i="298"/>
  <c r="S204" i="298"/>
  <c r="R204" i="298"/>
  <c r="Q204" i="298"/>
  <c r="P204" i="298"/>
  <c r="S203" i="298"/>
  <c r="R203" i="298"/>
  <c r="Q203" i="298"/>
  <c r="P203" i="298"/>
  <c r="S202" i="298"/>
  <c r="R202" i="298"/>
  <c r="Q202" i="298"/>
  <c r="P202" i="298"/>
  <c r="S201" i="298"/>
  <c r="R201" i="298"/>
  <c r="Q201" i="298"/>
  <c r="P201" i="298"/>
  <c r="S200" i="298"/>
  <c r="R200" i="298"/>
  <c r="Q200" i="298"/>
  <c r="P200" i="298"/>
  <c r="S199" i="298"/>
  <c r="R199" i="298"/>
  <c r="Q199" i="298"/>
  <c r="P199" i="298"/>
  <c r="S198" i="298"/>
  <c r="R198" i="298"/>
  <c r="Q198" i="298"/>
  <c r="P198" i="298"/>
  <c r="S197" i="298"/>
  <c r="R197" i="298"/>
  <c r="Q197" i="298"/>
  <c r="P197" i="298"/>
  <c r="S196" i="298"/>
  <c r="R196" i="298"/>
  <c r="Q196" i="298"/>
  <c r="P196" i="298"/>
  <c r="S195" i="298"/>
  <c r="R195" i="298"/>
  <c r="Q195" i="298"/>
  <c r="P195" i="298"/>
  <c r="S189" i="298"/>
  <c r="R189" i="298"/>
  <c r="Q189" i="298"/>
  <c r="P189" i="298"/>
  <c r="S187" i="298"/>
  <c r="R187" i="298"/>
  <c r="Q187" i="298"/>
  <c r="P187" i="298"/>
  <c r="S185" i="298"/>
  <c r="R185" i="298"/>
  <c r="Q185" i="298"/>
  <c r="P185" i="298"/>
  <c r="S182" i="298"/>
  <c r="R182" i="298"/>
  <c r="Q182" i="298"/>
  <c r="P182" i="298"/>
  <c r="O180" i="298"/>
  <c r="S180" i="298" s="1"/>
  <c r="N180" i="298"/>
  <c r="R180" i="298" s="1"/>
  <c r="M180" i="298"/>
  <c r="Q180" i="298" s="1"/>
  <c r="L180" i="298"/>
  <c r="P180" i="298" s="1"/>
  <c r="G180" i="298"/>
  <c r="F180" i="298"/>
  <c r="E180" i="298"/>
  <c r="D180" i="298"/>
  <c r="O176" i="298"/>
  <c r="S176" i="298" s="1"/>
  <c r="N176" i="298"/>
  <c r="R176" i="298" s="1"/>
  <c r="M176" i="298"/>
  <c r="Q176" i="298" s="1"/>
  <c r="L176" i="298"/>
  <c r="P176" i="298" s="1"/>
  <c r="G176" i="298"/>
  <c r="F176" i="298"/>
  <c r="E176" i="298"/>
  <c r="D176" i="298"/>
  <c r="S174" i="298"/>
  <c r="R174" i="298"/>
  <c r="Q174" i="298"/>
  <c r="P174" i="298"/>
  <c r="S173" i="298"/>
  <c r="R173" i="298"/>
  <c r="Q173" i="298"/>
  <c r="P173" i="298"/>
  <c r="S172" i="298"/>
  <c r="R172" i="298"/>
  <c r="Q172" i="298"/>
  <c r="P172" i="298"/>
  <c r="S171" i="298"/>
  <c r="R171" i="298"/>
  <c r="Q171" i="298"/>
  <c r="P171" i="298"/>
  <c r="S170" i="298"/>
  <c r="R170" i="298"/>
  <c r="Q170" i="298"/>
  <c r="P170" i="298"/>
  <c r="S169" i="298"/>
  <c r="R169" i="298"/>
  <c r="Q169" i="298"/>
  <c r="P169" i="298"/>
  <c r="S168" i="298"/>
  <c r="R168" i="298"/>
  <c r="Q168" i="298"/>
  <c r="P168" i="298"/>
  <c r="S167" i="298"/>
  <c r="R167" i="298"/>
  <c r="Q167" i="298"/>
  <c r="P167" i="298"/>
  <c r="S166" i="298"/>
  <c r="R166" i="298"/>
  <c r="Q166" i="298"/>
  <c r="P166" i="298"/>
  <c r="S165" i="298"/>
  <c r="R165" i="298"/>
  <c r="Q165" i="298"/>
  <c r="P165" i="298"/>
  <c r="S164" i="298"/>
  <c r="R164" i="298"/>
  <c r="Q164" i="298"/>
  <c r="P164" i="298"/>
  <c r="O161" i="298"/>
  <c r="O192" i="298" s="1"/>
  <c r="S192" i="298" s="1"/>
  <c r="N161" i="298"/>
  <c r="N192" i="298" s="1"/>
  <c r="R192" i="298" s="1"/>
  <c r="M161" i="298"/>
  <c r="M192" i="298" s="1"/>
  <c r="Q192" i="298" s="1"/>
  <c r="L161" i="298"/>
  <c r="L192" i="298" s="1"/>
  <c r="P192" i="298" s="1"/>
  <c r="G161" i="298"/>
  <c r="G192" i="298" s="1"/>
  <c r="F161" i="298"/>
  <c r="F192" i="298" s="1"/>
  <c r="E161" i="298"/>
  <c r="E192" i="298" s="1"/>
  <c r="D161" i="298"/>
  <c r="D192" i="298" s="1"/>
  <c r="S159" i="298"/>
  <c r="R159" i="298"/>
  <c r="Q159" i="298"/>
  <c r="P159" i="298"/>
  <c r="S158" i="298"/>
  <c r="R158" i="298"/>
  <c r="Q158" i="298"/>
  <c r="P158" i="298"/>
  <c r="S157" i="298"/>
  <c r="R157" i="298"/>
  <c r="Q157" i="298"/>
  <c r="P157" i="298"/>
  <c r="S156" i="298"/>
  <c r="R156" i="298"/>
  <c r="Q156" i="298"/>
  <c r="P156" i="298"/>
  <c r="S155" i="298"/>
  <c r="R155" i="298"/>
  <c r="Q155" i="298"/>
  <c r="P155" i="298"/>
  <c r="S154" i="298"/>
  <c r="R154" i="298"/>
  <c r="Q154" i="298"/>
  <c r="P154" i="298"/>
  <c r="O150" i="298"/>
  <c r="S150" i="298" s="1"/>
  <c r="N150" i="298"/>
  <c r="R150" i="298" s="1"/>
  <c r="M150" i="298"/>
  <c r="Q150" i="298" s="1"/>
  <c r="L150" i="298"/>
  <c r="P150" i="298" s="1"/>
  <c r="G150" i="298"/>
  <c r="F150" i="298"/>
  <c r="E150" i="298"/>
  <c r="D150" i="298"/>
  <c r="S148" i="298"/>
  <c r="R148" i="298"/>
  <c r="Q148" i="298"/>
  <c r="P148" i="298"/>
  <c r="S147" i="298"/>
  <c r="R147" i="298"/>
  <c r="Q147" i="298"/>
  <c r="P147" i="298"/>
  <c r="S146" i="298"/>
  <c r="R146" i="298"/>
  <c r="Q146" i="298"/>
  <c r="P146" i="298"/>
  <c r="S145" i="298"/>
  <c r="R145" i="298"/>
  <c r="Q145" i="298"/>
  <c r="P145" i="298"/>
  <c r="S144" i="298"/>
  <c r="R144" i="298"/>
  <c r="Q144" i="298"/>
  <c r="P144" i="298"/>
  <c r="S143" i="298"/>
  <c r="R143" i="298"/>
  <c r="Q143" i="298"/>
  <c r="P143" i="298"/>
  <c r="S142" i="298"/>
  <c r="R142" i="298"/>
  <c r="Q142" i="298"/>
  <c r="P142" i="298"/>
  <c r="S141" i="298"/>
  <c r="R141" i="298"/>
  <c r="Q141" i="298"/>
  <c r="P141" i="298"/>
  <c r="S140" i="298"/>
  <c r="R140" i="298"/>
  <c r="Q140" i="298"/>
  <c r="P140" i="298"/>
  <c r="O136" i="298"/>
  <c r="S136" i="298" s="1"/>
  <c r="N136" i="298"/>
  <c r="R136" i="298" s="1"/>
  <c r="M136" i="298"/>
  <c r="Q136" i="298" s="1"/>
  <c r="L136" i="298"/>
  <c r="P136" i="298" s="1"/>
  <c r="G136" i="298"/>
  <c r="F136" i="298"/>
  <c r="E136" i="298"/>
  <c r="D136" i="298"/>
  <c r="S134" i="298"/>
  <c r="R134" i="298"/>
  <c r="Q134" i="298"/>
  <c r="P134" i="298"/>
  <c r="S133" i="298"/>
  <c r="R133" i="298"/>
  <c r="Q133" i="298"/>
  <c r="P133" i="298"/>
  <c r="S132" i="298"/>
  <c r="R132" i="298"/>
  <c r="Q132" i="298"/>
  <c r="P132" i="298"/>
  <c r="S131" i="298"/>
  <c r="R131" i="298"/>
  <c r="Q131" i="298"/>
  <c r="P131" i="298"/>
  <c r="S130" i="298"/>
  <c r="R130" i="298"/>
  <c r="Q130" i="298"/>
  <c r="P130" i="298"/>
  <c r="S129" i="298"/>
  <c r="R129" i="298"/>
  <c r="Q129" i="298"/>
  <c r="P129" i="298"/>
  <c r="S128" i="298"/>
  <c r="R128" i="298"/>
  <c r="Q128" i="298"/>
  <c r="P128" i="298"/>
  <c r="S127" i="298"/>
  <c r="R127" i="298"/>
  <c r="Q127" i="298"/>
  <c r="P127" i="298"/>
  <c r="S126" i="298"/>
  <c r="R126" i="298"/>
  <c r="Q126" i="298"/>
  <c r="P126" i="298"/>
  <c r="S125" i="298"/>
  <c r="R125" i="298"/>
  <c r="Q125" i="298"/>
  <c r="P125" i="298"/>
  <c r="S124" i="298"/>
  <c r="R124" i="298"/>
  <c r="Q124" i="298"/>
  <c r="P124" i="298"/>
  <c r="S123" i="298"/>
  <c r="R123" i="298"/>
  <c r="Q123" i="298"/>
  <c r="P123" i="298"/>
  <c r="S122" i="298"/>
  <c r="R122" i="298"/>
  <c r="Q122" i="298"/>
  <c r="P122" i="298"/>
  <c r="S121" i="298"/>
  <c r="R121" i="298"/>
  <c r="Q121" i="298"/>
  <c r="P121" i="298"/>
  <c r="S120" i="298"/>
  <c r="R120" i="298"/>
  <c r="Q120" i="298"/>
  <c r="P120" i="298"/>
  <c r="S119" i="298"/>
  <c r="R119" i="298"/>
  <c r="Q119" i="298"/>
  <c r="P119" i="298"/>
  <c r="S118" i="298"/>
  <c r="R118" i="298"/>
  <c r="Q118" i="298"/>
  <c r="P118" i="298"/>
  <c r="S117" i="298"/>
  <c r="R117" i="298"/>
  <c r="Q117" i="298"/>
  <c r="P117" i="298"/>
  <c r="S116" i="298"/>
  <c r="R116" i="298"/>
  <c r="Q116" i="298"/>
  <c r="P116" i="298"/>
  <c r="S115" i="298"/>
  <c r="R115" i="298"/>
  <c r="Q115" i="298"/>
  <c r="P115" i="298"/>
  <c r="S114" i="298"/>
  <c r="R114" i="298"/>
  <c r="Q114" i="298"/>
  <c r="P114" i="298"/>
  <c r="S113" i="298"/>
  <c r="R113" i="298"/>
  <c r="Q113" i="298"/>
  <c r="P113" i="298"/>
  <c r="S112" i="298"/>
  <c r="R112" i="298"/>
  <c r="Q112" i="298"/>
  <c r="P112" i="298"/>
  <c r="S111" i="298"/>
  <c r="R111" i="298"/>
  <c r="Q111" i="298"/>
  <c r="P111" i="298"/>
  <c r="S110" i="298"/>
  <c r="R110" i="298"/>
  <c r="Q110" i="298"/>
  <c r="P110" i="298"/>
  <c r="S109" i="298"/>
  <c r="R109" i="298"/>
  <c r="Q109" i="298"/>
  <c r="P109" i="298"/>
  <c r="S108" i="298"/>
  <c r="R108" i="298"/>
  <c r="Q108" i="298"/>
  <c r="P108" i="298"/>
  <c r="S107" i="298"/>
  <c r="R107" i="298"/>
  <c r="Q107" i="298"/>
  <c r="P107" i="298"/>
  <c r="S106" i="298"/>
  <c r="R106" i="298"/>
  <c r="Q106" i="298"/>
  <c r="P106" i="298"/>
  <c r="S105" i="298"/>
  <c r="R105" i="298"/>
  <c r="Q105" i="298"/>
  <c r="P105" i="298"/>
  <c r="S104" i="298"/>
  <c r="R104" i="298"/>
  <c r="Q104" i="298"/>
  <c r="P104" i="298"/>
  <c r="S103" i="298"/>
  <c r="R103" i="298"/>
  <c r="Q103" i="298"/>
  <c r="P103" i="298"/>
  <c r="S102" i="298"/>
  <c r="R102" i="298"/>
  <c r="Q102" i="298"/>
  <c r="P102" i="298"/>
  <c r="S101" i="298"/>
  <c r="R101" i="298"/>
  <c r="Q101" i="298"/>
  <c r="P101" i="298"/>
  <c r="S100" i="298"/>
  <c r="R100" i="298"/>
  <c r="Q100" i="298"/>
  <c r="P100" i="298"/>
  <c r="S99" i="298"/>
  <c r="R99" i="298"/>
  <c r="Q99" i="298"/>
  <c r="P99" i="298"/>
  <c r="S98" i="298"/>
  <c r="R98" i="298"/>
  <c r="Q98" i="298"/>
  <c r="P98" i="298"/>
  <c r="S96" i="298"/>
  <c r="R96" i="298"/>
  <c r="Q96" i="298"/>
  <c r="P96" i="298"/>
  <c r="S95" i="298"/>
  <c r="R95" i="298"/>
  <c r="Q95" i="298"/>
  <c r="P95" i="298"/>
  <c r="S94" i="298"/>
  <c r="R94" i="298"/>
  <c r="Q94" i="298"/>
  <c r="P94" i="298"/>
  <c r="S93" i="298"/>
  <c r="R93" i="298"/>
  <c r="Q93" i="298"/>
  <c r="P93" i="298"/>
  <c r="S92" i="298"/>
  <c r="R92" i="298"/>
  <c r="Q92" i="298"/>
  <c r="P92" i="298"/>
  <c r="S91" i="298"/>
  <c r="R91" i="298"/>
  <c r="Q91" i="298"/>
  <c r="P91" i="298"/>
  <c r="S90" i="298"/>
  <c r="R90" i="298"/>
  <c r="Q90" i="298"/>
  <c r="P90" i="298"/>
  <c r="S88" i="298"/>
  <c r="R88" i="298"/>
  <c r="Q88" i="298"/>
  <c r="P88" i="298"/>
  <c r="S87" i="298"/>
  <c r="R87" i="298"/>
  <c r="Q87" i="298"/>
  <c r="P87" i="298"/>
  <c r="S86" i="298"/>
  <c r="R86" i="298"/>
  <c r="Q86" i="298"/>
  <c r="P86" i="298"/>
  <c r="S85" i="298"/>
  <c r="R85" i="298"/>
  <c r="Q85" i="298"/>
  <c r="P85" i="298"/>
  <c r="S84" i="298"/>
  <c r="R84" i="298"/>
  <c r="Q84" i="298"/>
  <c r="P84" i="298"/>
  <c r="S83" i="298"/>
  <c r="R83" i="298"/>
  <c r="Q83" i="298"/>
  <c r="P83" i="298"/>
  <c r="S82" i="298"/>
  <c r="R82" i="298"/>
  <c r="Q82" i="298"/>
  <c r="P82" i="298"/>
  <c r="S81" i="298"/>
  <c r="R81" i="298"/>
  <c r="Q81" i="298"/>
  <c r="P81" i="298"/>
  <c r="S80" i="298"/>
  <c r="R80" i="298"/>
  <c r="Q80" i="298"/>
  <c r="P80" i="298"/>
  <c r="S79" i="298"/>
  <c r="R79" i="298"/>
  <c r="Q79" i="298"/>
  <c r="P79" i="298"/>
  <c r="S78" i="298"/>
  <c r="R78" i="298"/>
  <c r="Q78" i="298"/>
  <c r="P78" i="298"/>
  <c r="S77" i="298"/>
  <c r="R77" i="298"/>
  <c r="Q77" i="298"/>
  <c r="P77" i="298"/>
  <c r="O74" i="298"/>
  <c r="S74" i="298" s="1"/>
  <c r="N74" i="298"/>
  <c r="R74" i="298" s="1"/>
  <c r="M74" i="298"/>
  <c r="Q74" i="298" s="1"/>
  <c r="L74" i="298"/>
  <c r="P74" i="298" s="1"/>
  <c r="G74" i="298"/>
  <c r="F74" i="298"/>
  <c r="E74" i="298"/>
  <c r="D74" i="298"/>
  <c r="S72" i="298"/>
  <c r="R72" i="298"/>
  <c r="Q72" i="298"/>
  <c r="P72" i="298"/>
  <c r="S71" i="298"/>
  <c r="R71" i="298"/>
  <c r="Q71" i="298"/>
  <c r="P71" i="298"/>
  <c r="S70" i="298"/>
  <c r="R70" i="298"/>
  <c r="Q70" i="298"/>
  <c r="P70" i="298"/>
  <c r="S69" i="298"/>
  <c r="R69" i="298"/>
  <c r="Q69" i="298"/>
  <c r="P69" i="298"/>
  <c r="S68" i="298"/>
  <c r="R68" i="298"/>
  <c r="Q68" i="298"/>
  <c r="P68" i="298"/>
  <c r="S67" i="298"/>
  <c r="R67" i="298"/>
  <c r="Q67" i="298"/>
  <c r="P67" i="298"/>
  <c r="O64" i="298"/>
  <c r="O259" i="298" s="1"/>
  <c r="S259" i="298" s="1"/>
  <c r="N64" i="298"/>
  <c r="N259" i="298" s="1"/>
  <c r="R259" i="298" s="1"/>
  <c r="M64" i="298"/>
  <c r="M259" i="298" s="1"/>
  <c r="Q259" i="298" s="1"/>
  <c r="L64" i="298"/>
  <c r="L259" i="298" s="1"/>
  <c r="P259" i="298" s="1"/>
  <c r="G64" i="298"/>
  <c r="G259" i="298" s="1"/>
  <c r="F64" i="298"/>
  <c r="F259" i="298" s="1"/>
  <c r="E64" i="298"/>
  <c r="E259" i="298" s="1"/>
  <c r="D64" i="298"/>
  <c r="D259" i="298" s="1"/>
  <c r="S62" i="298"/>
  <c r="R62" i="298"/>
  <c r="Q62" i="298"/>
  <c r="P62" i="298"/>
  <c r="S61" i="298"/>
  <c r="R61" i="298"/>
  <c r="Q61" i="298"/>
  <c r="P61" i="298"/>
  <c r="S60" i="298"/>
  <c r="R60" i="298"/>
  <c r="Q60" i="298"/>
  <c r="P60" i="298"/>
  <c r="S59" i="298"/>
  <c r="R59" i="298"/>
  <c r="Q59" i="298"/>
  <c r="P59" i="298"/>
  <c r="S58" i="298"/>
  <c r="R58" i="298"/>
  <c r="Q58" i="298"/>
  <c r="P58" i="298"/>
  <c r="S57" i="298"/>
  <c r="R57" i="298"/>
  <c r="Q57" i="298"/>
  <c r="P57" i="298"/>
  <c r="O50" i="298"/>
  <c r="O51" i="298" s="1"/>
  <c r="S51" i="298" s="1"/>
  <c r="N50" i="298"/>
  <c r="N51" i="298" s="1"/>
  <c r="R51" i="298" s="1"/>
  <c r="M50" i="298"/>
  <c r="M51" i="298" s="1"/>
  <c r="Q51" i="298" s="1"/>
  <c r="L50" i="298"/>
  <c r="L51" i="298" s="1"/>
  <c r="P51" i="298" s="1"/>
  <c r="G50" i="298"/>
  <c r="G51" i="298" s="1"/>
  <c r="F50" i="298"/>
  <c r="F51" i="298" s="1"/>
  <c r="E50" i="298"/>
  <c r="E51" i="298" s="1"/>
  <c r="D50" i="298"/>
  <c r="D51" i="298" s="1"/>
  <c r="S49" i="298"/>
  <c r="R49" i="298"/>
  <c r="Q49" i="298"/>
  <c r="P49" i="298"/>
  <c r="S48" i="298"/>
  <c r="R48" i="298"/>
  <c r="Q48" i="298"/>
  <c r="P48" i="298"/>
  <c r="S47" i="298"/>
  <c r="R47" i="298"/>
  <c r="Q47" i="298"/>
  <c r="P47" i="298"/>
  <c r="S46" i="298"/>
  <c r="R46" i="298"/>
  <c r="Q46" i="298"/>
  <c r="P46" i="298"/>
  <c r="O44" i="298"/>
  <c r="S44" i="298" s="1"/>
  <c r="N44" i="298"/>
  <c r="R44" i="298" s="1"/>
  <c r="M44" i="298"/>
  <c r="Q44" i="298" s="1"/>
  <c r="L44" i="298"/>
  <c r="P44" i="298" s="1"/>
  <c r="S43" i="298"/>
  <c r="R43" i="298"/>
  <c r="Q43" i="298"/>
  <c r="P43" i="298"/>
  <c r="S40" i="298"/>
  <c r="R40" i="298"/>
  <c r="Q40" i="298"/>
  <c r="P40" i="298"/>
  <c r="S39" i="298"/>
  <c r="R39" i="298"/>
  <c r="Q39" i="298"/>
  <c r="P39" i="298"/>
  <c r="S38" i="298"/>
  <c r="R38" i="298"/>
  <c r="Q38" i="298"/>
  <c r="P38" i="298"/>
  <c r="D35" i="298"/>
  <c r="O34" i="298"/>
  <c r="S34" i="298" s="1"/>
  <c r="N34" i="298"/>
  <c r="R34" i="298" s="1"/>
  <c r="M34" i="298"/>
  <c r="Q34" i="298" s="1"/>
  <c r="L34" i="298"/>
  <c r="G34" i="298"/>
  <c r="F34" i="298"/>
  <c r="S33" i="298"/>
  <c r="R33" i="298"/>
  <c r="Q33" i="298"/>
  <c r="P33" i="298"/>
  <c r="R31" i="298"/>
  <c r="O31" i="298"/>
  <c r="O35" i="298" s="1"/>
  <c r="S35" i="298" s="1"/>
  <c r="N31" i="298"/>
  <c r="N35" i="298" s="1"/>
  <c r="R35" i="298" s="1"/>
  <c r="M31" i="298"/>
  <c r="Q31" i="298" s="1"/>
  <c r="L31" i="298"/>
  <c r="P31" i="298" s="1"/>
  <c r="G31" i="298"/>
  <c r="G35" i="298" s="1"/>
  <c r="F31" i="298"/>
  <c r="F35" i="298" s="1"/>
  <c r="E31" i="298"/>
  <c r="E35" i="298" s="1"/>
  <c r="D31" i="298"/>
  <c r="S30" i="298"/>
  <c r="R30" i="298"/>
  <c r="Q30" i="298"/>
  <c r="P30" i="298"/>
  <c r="R28" i="298"/>
  <c r="O28" i="298"/>
  <c r="S28" i="298" s="1"/>
  <c r="N28" i="298"/>
  <c r="M28" i="298"/>
  <c r="Q28" i="298" s="1"/>
  <c r="L28" i="298"/>
  <c r="P28" i="298" s="1"/>
  <c r="S27" i="298"/>
  <c r="R27" i="298"/>
  <c r="Q27" i="298"/>
  <c r="P27" i="298"/>
  <c r="S24" i="298"/>
  <c r="R24" i="298"/>
  <c r="Q24" i="298"/>
  <c r="P24" i="298"/>
  <c r="S23" i="298"/>
  <c r="R23" i="298"/>
  <c r="Q23" i="298"/>
  <c r="P23" i="298"/>
  <c r="S22" i="298"/>
  <c r="R22" i="298"/>
  <c r="Q22" i="298"/>
  <c r="P22" i="298"/>
  <c r="O18" i="298"/>
  <c r="O19" i="298" s="1"/>
  <c r="N18" i="298"/>
  <c r="R18" i="298" s="1"/>
  <c r="M18" i="298"/>
  <c r="M19" i="298" s="1"/>
  <c r="L18" i="298"/>
  <c r="L19" i="298" s="1"/>
  <c r="G18" i="298"/>
  <c r="G19" i="298" s="1"/>
  <c r="F18" i="298"/>
  <c r="F19" i="298" s="1"/>
  <c r="F53" i="298" s="1"/>
  <c r="F270" i="298" s="1"/>
  <c r="E18" i="298"/>
  <c r="E19" i="298" s="1"/>
  <c r="E53" i="298" s="1"/>
  <c r="E270" i="298" s="1"/>
  <c r="D18" i="298"/>
  <c r="D19" i="298" s="1"/>
  <c r="S17" i="298"/>
  <c r="R17" i="298"/>
  <c r="Q17" i="298"/>
  <c r="P17" i="298"/>
  <c r="S16" i="298"/>
  <c r="R16" i="298"/>
  <c r="Q16" i="298"/>
  <c r="P16" i="298"/>
  <c r="S15" i="298"/>
  <c r="R15" i="298"/>
  <c r="Q15" i="298"/>
  <c r="P15" i="298"/>
  <c r="S14" i="298"/>
  <c r="R14" i="298"/>
  <c r="Q14" i="298"/>
  <c r="P14" i="298"/>
  <c r="S13" i="298"/>
  <c r="R13" i="298"/>
  <c r="Q13" i="298"/>
  <c r="P13" i="298"/>
  <c r="S12" i="298"/>
  <c r="R12" i="298"/>
  <c r="Q12" i="298"/>
  <c r="P12" i="298"/>
  <c r="S11" i="298"/>
  <c r="R11" i="298"/>
  <c r="Q11" i="298"/>
  <c r="P11" i="298"/>
  <c r="S198" i="297"/>
  <c r="R198" i="297"/>
  <c r="Q198" i="297"/>
  <c r="P198" i="297"/>
  <c r="O196" i="297"/>
  <c r="S196" i="297" s="1"/>
  <c r="N196" i="297"/>
  <c r="R196" i="297" s="1"/>
  <c r="M196" i="297"/>
  <c r="Q196" i="297" s="1"/>
  <c r="L196" i="297"/>
  <c r="P196" i="297" s="1"/>
  <c r="G196" i="297"/>
  <c r="F196" i="297"/>
  <c r="E196" i="297"/>
  <c r="D196" i="297"/>
  <c r="S195" i="297"/>
  <c r="R195" i="297"/>
  <c r="Q195" i="297"/>
  <c r="P195" i="297"/>
  <c r="S194" i="297"/>
  <c r="R194" i="297"/>
  <c r="Q194" i="297"/>
  <c r="P194" i="297"/>
  <c r="S193" i="297"/>
  <c r="R193" i="297"/>
  <c r="Q193" i="297"/>
  <c r="P193" i="297"/>
  <c r="O190" i="297"/>
  <c r="S190" i="297" s="1"/>
  <c r="N190" i="297"/>
  <c r="R190" i="297" s="1"/>
  <c r="M190" i="297"/>
  <c r="Q190" i="297" s="1"/>
  <c r="L190" i="297"/>
  <c r="P190" i="297" s="1"/>
  <c r="G190" i="297"/>
  <c r="F190" i="297"/>
  <c r="E190" i="297"/>
  <c r="D190" i="297"/>
  <c r="S189" i="297"/>
  <c r="R189" i="297"/>
  <c r="Q189" i="297"/>
  <c r="P189" i="297"/>
  <c r="S188" i="297"/>
  <c r="R188" i="297"/>
  <c r="Q188" i="297"/>
  <c r="P188" i="297"/>
  <c r="S187" i="297"/>
  <c r="R187" i="297"/>
  <c r="Q187" i="297"/>
  <c r="P187" i="297"/>
  <c r="S186" i="297"/>
  <c r="R186" i="297"/>
  <c r="Q186" i="297"/>
  <c r="P186" i="297"/>
  <c r="S185" i="297"/>
  <c r="R185" i="297"/>
  <c r="Q185" i="297"/>
  <c r="P185" i="297"/>
  <c r="O183" i="297"/>
  <c r="S183" i="297" s="1"/>
  <c r="N183" i="297"/>
  <c r="R183" i="297" s="1"/>
  <c r="M183" i="297"/>
  <c r="Q183" i="297" s="1"/>
  <c r="L183" i="297"/>
  <c r="P183" i="297" s="1"/>
  <c r="G183" i="297"/>
  <c r="F183" i="297"/>
  <c r="E183" i="297"/>
  <c r="D183" i="297"/>
  <c r="S182" i="297"/>
  <c r="R182" i="297"/>
  <c r="Q182" i="297"/>
  <c r="P182" i="297"/>
  <c r="S181" i="297"/>
  <c r="R181" i="297"/>
  <c r="Q181" i="297"/>
  <c r="P181" i="297"/>
  <c r="S180" i="297"/>
  <c r="R180" i="297"/>
  <c r="Q180" i="297"/>
  <c r="P180" i="297"/>
  <c r="S179" i="297"/>
  <c r="R179" i="297"/>
  <c r="Q179" i="297"/>
  <c r="P179" i="297"/>
  <c r="O168" i="297"/>
  <c r="S168" i="297" s="1"/>
  <c r="N168" i="297"/>
  <c r="M168" i="297"/>
  <c r="L168" i="297"/>
  <c r="G168" i="297"/>
  <c r="F168" i="297"/>
  <c r="F170" i="297" s="1"/>
  <c r="E168" i="297"/>
  <c r="D168" i="297"/>
  <c r="S166" i="297"/>
  <c r="R166" i="297"/>
  <c r="Q166" i="297"/>
  <c r="P166" i="297"/>
  <c r="S165" i="297"/>
  <c r="R165" i="297"/>
  <c r="Q165" i="297"/>
  <c r="P165" i="297"/>
  <c r="O162" i="297"/>
  <c r="S162" i="297" s="1"/>
  <c r="N162" i="297"/>
  <c r="R162" i="297" s="1"/>
  <c r="M162" i="297"/>
  <c r="Q162" i="297" s="1"/>
  <c r="L162" i="297"/>
  <c r="P162" i="297" s="1"/>
  <c r="G162" i="297"/>
  <c r="F162" i="297"/>
  <c r="E162" i="297"/>
  <c r="D162" i="297"/>
  <c r="S160" i="297"/>
  <c r="R160" i="297"/>
  <c r="Q160" i="297"/>
  <c r="P160" i="297"/>
  <c r="O154" i="297"/>
  <c r="S154" i="297" s="1"/>
  <c r="N154" i="297"/>
  <c r="R154" i="297" s="1"/>
  <c r="M154" i="297"/>
  <c r="Q154" i="297" s="1"/>
  <c r="L154" i="297"/>
  <c r="P154" i="297" s="1"/>
  <c r="G154" i="297"/>
  <c r="G156" i="297" s="1"/>
  <c r="F154" i="297"/>
  <c r="E154" i="297"/>
  <c r="D154" i="297"/>
  <c r="S152" i="297"/>
  <c r="R152" i="297"/>
  <c r="Q152" i="297"/>
  <c r="P152" i="297"/>
  <c r="S149" i="297"/>
  <c r="O149" i="297"/>
  <c r="N149" i="297"/>
  <c r="N156" i="297" s="1"/>
  <c r="R156" i="297" s="1"/>
  <c r="M149" i="297"/>
  <c r="L149" i="297"/>
  <c r="L156" i="297" s="1"/>
  <c r="P156" i="297" s="1"/>
  <c r="G149" i="297"/>
  <c r="F149" i="297"/>
  <c r="F156" i="297" s="1"/>
  <c r="E149" i="297"/>
  <c r="D149" i="297"/>
  <c r="D156" i="297" s="1"/>
  <c r="S147" i="297"/>
  <c r="R147" i="297"/>
  <c r="Q147" i="297"/>
  <c r="P147" i="297"/>
  <c r="S146" i="297"/>
  <c r="R146" i="297"/>
  <c r="Q146" i="297"/>
  <c r="P146" i="297"/>
  <c r="S145" i="297"/>
  <c r="R145" i="297"/>
  <c r="Q145" i="297"/>
  <c r="P145" i="297"/>
  <c r="S144" i="297"/>
  <c r="R144" i="297"/>
  <c r="Q144" i="297"/>
  <c r="P144" i="297"/>
  <c r="O138" i="297"/>
  <c r="S138" i="297" s="1"/>
  <c r="N138" i="297"/>
  <c r="R138" i="297" s="1"/>
  <c r="M138" i="297"/>
  <c r="Q138" i="297" s="1"/>
  <c r="L138" i="297"/>
  <c r="P138" i="297" s="1"/>
  <c r="G138" i="297"/>
  <c r="F138" i="297"/>
  <c r="E138" i="297"/>
  <c r="D138" i="297"/>
  <c r="S136" i="297"/>
  <c r="R136" i="297"/>
  <c r="Q136" i="297"/>
  <c r="P136" i="297"/>
  <c r="S135" i="297"/>
  <c r="R135" i="297"/>
  <c r="Q135" i="297"/>
  <c r="P135" i="297"/>
  <c r="S134" i="297"/>
  <c r="R134" i="297"/>
  <c r="Q134" i="297"/>
  <c r="P134" i="297"/>
  <c r="S133" i="297"/>
  <c r="R133" i="297"/>
  <c r="Q133" i="297"/>
  <c r="P133" i="297"/>
  <c r="S132" i="297"/>
  <c r="R132" i="297"/>
  <c r="Q132" i="297"/>
  <c r="P132" i="297"/>
  <c r="S131" i="297"/>
  <c r="R131" i="297"/>
  <c r="Q131" i="297"/>
  <c r="P131" i="297"/>
  <c r="S130" i="297"/>
  <c r="R130" i="297"/>
  <c r="Q130" i="297"/>
  <c r="P130" i="297"/>
  <c r="S129" i="297"/>
  <c r="R129" i="297"/>
  <c r="Q129" i="297"/>
  <c r="P129" i="297"/>
  <c r="S128" i="297"/>
  <c r="R128" i="297"/>
  <c r="Q128" i="297"/>
  <c r="P128" i="297"/>
  <c r="S127" i="297"/>
  <c r="R127" i="297"/>
  <c r="Q127" i="297"/>
  <c r="P127" i="297"/>
  <c r="O124" i="297"/>
  <c r="O140" i="297" s="1"/>
  <c r="S140" i="297" s="1"/>
  <c r="N124" i="297"/>
  <c r="N140" i="297" s="1"/>
  <c r="R140" i="297" s="1"/>
  <c r="M124" i="297"/>
  <c r="M140" i="297" s="1"/>
  <c r="Q140" i="297" s="1"/>
  <c r="L124" i="297"/>
  <c r="L140" i="297" s="1"/>
  <c r="P140" i="297" s="1"/>
  <c r="G124" i="297"/>
  <c r="G140" i="297" s="1"/>
  <c r="F124" i="297"/>
  <c r="F140" i="297" s="1"/>
  <c r="E124" i="297"/>
  <c r="E140" i="297" s="1"/>
  <c r="S122" i="297"/>
  <c r="R122" i="297"/>
  <c r="Q122" i="297"/>
  <c r="P122" i="297"/>
  <c r="S121" i="297"/>
  <c r="R121" i="297"/>
  <c r="Q121" i="297"/>
  <c r="P121" i="297"/>
  <c r="S120" i="297"/>
  <c r="R120" i="297"/>
  <c r="Q120" i="297"/>
  <c r="P120" i="297"/>
  <c r="D120" i="297"/>
  <c r="D124" i="297" s="1"/>
  <c r="D140" i="297" s="1"/>
  <c r="S119" i="297"/>
  <c r="R119" i="297"/>
  <c r="Q119" i="297"/>
  <c r="P119" i="297"/>
  <c r="S118" i="297"/>
  <c r="R118" i="297"/>
  <c r="Q118" i="297"/>
  <c r="P118" i="297"/>
  <c r="S117" i="297"/>
  <c r="R117" i="297"/>
  <c r="Q117" i="297"/>
  <c r="P117" i="297"/>
  <c r="S116" i="297"/>
  <c r="R116" i="297"/>
  <c r="Q116" i="297"/>
  <c r="P116" i="297"/>
  <c r="S115" i="297"/>
  <c r="R115" i="297"/>
  <c r="Q115" i="297"/>
  <c r="P115" i="297"/>
  <c r="S114" i="297"/>
  <c r="R114" i="297"/>
  <c r="Q114" i="297"/>
  <c r="P114" i="297"/>
  <c r="S113" i="297"/>
  <c r="R113" i="297"/>
  <c r="Q113" i="297"/>
  <c r="P113" i="297"/>
  <c r="S112" i="297"/>
  <c r="R112" i="297"/>
  <c r="Q112" i="297"/>
  <c r="P112" i="297"/>
  <c r="S111" i="297"/>
  <c r="R111" i="297"/>
  <c r="Q111" i="297"/>
  <c r="P111" i="297"/>
  <c r="S110" i="297"/>
  <c r="R110" i="297"/>
  <c r="Q110" i="297"/>
  <c r="P110" i="297"/>
  <c r="S109" i="297"/>
  <c r="R109" i="297"/>
  <c r="Q109" i="297"/>
  <c r="P109" i="297"/>
  <c r="S107" i="297"/>
  <c r="R107" i="297"/>
  <c r="Q107" i="297"/>
  <c r="P107" i="297"/>
  <c r="S106" i="297"/>
  <c r="R106" i="297"/>
  <c r="Q106" i="297"/>
  <c r="P106" i="297"/>
  <c r="S105" i="297"/>
  <c r="R105" i="297"/>
  <c r="Q105" i="297"/>
  <c r="P105" i="297"/>
  <c r="O101" i="297"/>
  <c r="S101" i="297" s="1"/>
  <c r="N101" i="297"/>
  <c r="R101" i="297" s="1"/>
  <c r="M101" i="297"/>
  <c r="Q101" i="297" s="1"/>
  <c r="L101" i="297"/>
  <c r="P101" i="297" s="1"/>
  <c r="G101" i="297"/>
  <c r="F101" i="297"/>
  <c r="E101" i="297"/>
  <c r="D101" i="297"/>
  <c r="S99" i="297"/>
  <c r="R99" i="297"/>
  <c r="Q99" i="297"/>
  <c r="P99" i="297"/>
  <c r="S98" i="297"/>
  <c r="R98" i="297"/>
  <c r="Q98" i="297"/>
  <c r="P98" i="297"/>
  <c r="S95" i="297"/>
  <c r="R95" i="297"/>
  <c r="Q95" i="297"/>
  <c r="P95" i="297"/>
  <c r="O89" i="297"/>
  <c r="S89" i="297" s="1"/>
  <c r="N89" i="297"/>
  <c r="R89" i="297" s="1"/>
  <c r="M89" i="297"/>
  <c r="Q89" i="297" s="1"/>
  <c r="L89" i="297"/>
  <c r="P89" i="297" s="1"/>
  <c r="S87" i="297"/>
  <c r="R87" i="297"/>
  <c r="Q87" i="297"/>
  <c r="P87" i="297"/>
  <c r="O84" i="297"/>
  <c r="S84" i="297" s="1"/>
  <c r="N84" i="297"/>
  <c r="R84" i="297" s="1"/>
  <c r="M84" i="297"/>
  <c r="Q84" i="297" s="1"/>
  <c r="L84" i="297"/>
  <c r="P84" i="297" s="1"/>
  <c r="S82" i="297"/>
  <c r="R82" i="297"/>
  <c r="Q82" i="297"/>
  <c r="P82" i="297"/>
  <c r="O79" i="297"/>
  <c r="S79" i="297" s="1"/>
  <c r="N79" i="297"/>
  <c r="R79" i="297" s="1"/>
  <c r="M79" i="297"/>
  <c r="L79" i="297"/>
  <c r="P79" i="297" s="1"/>
  <c r="S77" i="297"/>
  <c r="R77" i="297"/>
  <c r="Q77" i="297"/>
  <c r="P77" i="297"/>
  <c r="S76" i="297"/>
  <c r="R76" i="297"/>
  <c r="Q76" i="297"/>
  <c r="P76" i="297"/>
  <c r="O73" i="297"/>
  <c r="O91" i="297" s="1"/>
  <c r="S91" i="297" s="1"/>
  <c r="N73" i="297"/>
  <c r="N91" i="297" s="1"/>
  <c r="R91" i="297" s="1"/>
  <c r="M73" i="297"/>
  <c r="Q73" i="297" s="1"/>
  <c r="L73" i="297"/>
  <c r="L91" i="297" s="1"/>
  <c r="P91" i="297" s="1"/>
  <c r="G73" i="297"/>
  <c r="G91" i="297" s="1"/>
  <c r="F73" i="297"/>
  <c r="F91" i="297" s="1"/>
  <c r="E73" i="297"/>
  <c r="E91" i="297" s="1"/>
  <c r="D73" i="297"/>
  <c r="D91" i="297" s="1"/>
  <c r="S71" i="297"/>
  <c r="R71" i="297"/>
  <c r="Q71" i="297"/>
  <c r="P71" i="297"/>
  <c r="S70" i="297"/>
  <c r="R70" i="297"/>
  <c r="Q70" i="297"/>
  <c r="P70" i="297"/>
  <c r="S69" i="297"/>
  <c r="R69" i="297"/>
  <c r="Q69" i="297"/>
  <c r="P69" i="297"/>
  <c r="S68" i="297"/>
  <c r="R68" i="297"/>
  <c r="Q68" i="297"/>
  <c r="P68" i="297"/>
  <c r="S67" i="297"/>
  <c r="R67" i="297"/>
  <c r="Q67" i="297"/>
  <c r="P67" i="297"/>
  <c r="S66" i="297"/>
  <c r="R66" i="297"/>
  <c r="Q66" i="297"/>
  <c r="P66" i="297"/>
  <c r="S65" i="297"/>
  <c r="R65" i="297"/>
  <c r="Q65" i="297"/>
  <c r="P65" i="297"/>
  <c r="S64" i="297"/>
  <c r="R64" i="297"/>
  <c r="Q64" i="297"/>
  <c r="P64" i="297"/>
  <c r="O58" i="297"/>
  <c r="S58" i="297" s="1"/>
  <c r="N58" i="297"/>
  <c r="R58" i="297" s="1"/>
  <c r="M58" i="297"/>
  <c r="Q58" i="297" s="1"/>
  <c r="L58" i="297"/>
  <c r="P58" i="297" s="1"/>
  <c r="G58" i="297"/>
  <c r="F58" i="297"/>
  <c r="E58" i="297"/>
  <c r="D58" i="297"/>
  <c r="S57" i="297"/>
  <c r="R57" i="297"/>
  <c r="Q57" i="297"/>
  <c r="P57" i="297"/>
  <c r="S56" i="297"/>
  <c r="R56" i="297"/>
  <c r="Q56" i="297"/>
  <c r="P56" i="297"/>
  <c r="O53" i="297"/>
  <c r="O60" i="297" s="1"/>
  <c r="S60" i="297" s="1"/>
  <c r="N53" i="297"/>
  <c r="N60" i="297" s="1"/>
  <c r="R60" i="297" s="1"/>
  <c r="M53" i="297"/>
  <c r="Q53" i="297" s="1"/>
  <c r="L53" i="297"/>
  <c r="P53" i="297" s="1"/>
  <c r="G53" i="297"/>
  <c r="G60" i="297" s="1"/>
  <c r="F53" i="297"/>
  <c r="F60" i="297" s="1"/>
  <c r="E53" i="297"/>
  <c r="E60" i="297" s="1"/>
  <c r="S52" i="297"/>
  <c r="R52" i="297"/>
  <c r="Q52" i="297"/>
  <c r="P52" i="297"/>
  <c r="D52" i="297"/>
  <c r="D53" i="297" s="1"/>
  <c r="D60" i="297" s="1"/>
  <c r="S51" i="297"/>
  <c r="R51" i="297"/>
  <c r="Q51" i="297"/>
  <c r="P51" i="297"/>
  <c r="S50" i="297"/>
  <c r="R50" i="297"/>
  <c r="Q50" i="297"/>
  <c r="P50" i="297"/>
  <c r="S49" i="297"/>
  <c r="R49" i="297"/>
  <c r="Q49" i="297"/>
  <c r="P49" i="297"/>
  <c r="O45" i="297"/>
  <c r="N45" i="297"/>
  <c r="M45" i="297"/>
  <c r="Q45" i="297" s="1"/>
  <c r="L45" i="297"/>
  <c r="P45" i="297" s="1"/>
  <c r="G45" i="297"/>
  <c r="F45" i="297"/>
  <c r="E45" i="297"/>
  <c r="D45" i="297"/>
  <c r="S43" i="297"/>
  <c r="R43" i="297"/>
  <c r="Q43" i="297"/>
  <c r="P43" i="297"/>
  <c r="S42" i="297"/>
  <c r="R42" i="297"/>
  <c r="Q42" i="297"/>
  <c r="P42" i="297"/>
  <c r="S41" i="297"/>
  <c r="R41" i="297"/>
  <c r="Q41" i="297"/>
  <c r="P41" i="297"/>
  <c r="S40" i="297"/>
  <c r="R40" i="297"/>
  <c r="Q40" i="297"/>
  <c r="P40" i="297"/>
  <c r="S39" i="297"/>
  <c r="R39" i="297"/>
  <c r="Q39" i="297"/>
  <c r="P39" i="297"/>
  <c r="S38" i="297"/>
  <c r="R38" i="297"/>
  <c r="Q38" i="297"/>
  <c r="P38" i="297"/>
  <c r="S37" i="297"/>
  <c r="R37" i="297"/>
  <c r="Q37" i="297"/>
  <c r="P37" i="297"/>
  <c r="S36" i="297"/>
  <c r="R36" i="297"/>
  <c r="Q36" i="297"/>
  <c r="P36" i="297"/>
  <c r="S35" i="297"/>
  <c r="R35" i="297"/>
  <c r="Q35" i="297"/>
  <c r="P35" i="297"/>
  <c r="S34" i="297"/>
  <c r="R34" i="297"/>
  <c r="Q34" i="297"/>
  <c r="P34" i="297"/>
  <c r="S33" i="297"/>
  <c r="R33" i="297"/>
  <c r="Q33" i="297"/>
  <c r="P33" i="297"/>
  <c r="S32" i="297"/>
  <c r="R32" i="297"/>
  <c r="Q32" i="297"/>
  <c r="P32" i="297"/>
  <c r="O23" i="297"/>
  <c r="S23" i="297" s="1"/>
  <c r="N23" i="297"/>
  <c r="R23" i="297" s="1"/>
  <c r="M23" i="297"/>
  <c r="Q23" i="297" s="1"/>
  <c r="L23" i="297"/>
  <c r="L25" i="297" s="1"/>
  <c r="P25" i="297" s="1"/>
  <c r="G23" i="297"/>
  <c r="G25" i="297" s="1"/>
  <c r="F23" i="297"/>
  <c r="F25" i="297" s="1"/>
  <c r="E23" i="297"/>
  <c r="E25" i="297" s="1"/>
  <c r="D23" i="297"/>
  <c r="D25" i="297" s="1"/>
  <c r="S22" i="297"/>
  <c r="R22" i="297"/>
  <c r="Q22" i="297"/>
  <c r="P22" i="297"/>
  <c r="S21" i="297"/>
  <c r="R21" i="297"/>
  <c r="Q21" i="297"/>
  <c r="P21" i="297"/>
  <c r="O17" i="297"/>
  <c r="S17" i="297" s="1"/>
  <c r="N17" i="297"/>
  <c r="R17" i="297" s="1"/>
  <c r="M17" i="297"/>
  <c r="Q17" i="297" s="1"/>
  <c r="L17" i="297"/>
  <c r="P17" i="297" s="1"/>
  <c r="G17" i="297"/>
  <c r="F17" i="297"/>
  <c r="E17" i="297"/>
  <c r="D17" i="297"/>
  <c r="S15" i="297"/>
  <c r="R15" i="297"/>
  <c r="Q15" i="297"/>
  <c r="P15" i="297"/>
  <c r="S13" i="297"/>
  <c r="R13" i="297"/>
  <c r="Q13" i="297"/>
  <c r="P13" i="297"/>
  <c r="O11" i="297"/>
  <c r="S11" i="297" s="1"/>
  <c r="N11" i="297"/>
  <c r="M11" i="297"/>
  <c r="Q11" i="297" s="1"/>
  <c r="L11" i="297"/>
  <c r="G11" i="297"/>
  <c r="F11" i="297"/>
  <c r="E11" i="297"/>
  <c r="D11" i="297"/>
  <c r="S9" i="297"/>
  <c r="R9" i="297"/>
  <c r="Q9" i="297"/>
  <c r="P9" i="297"/>
  <c r="D32" i="299" l="1"/>
  <c r="J32" i="299"/>
  <c r="G53" i="298"/>
  <c r="G270" i="298" s="1"/>
  <c r="O53" i="298"/>
  <c r="S19" i="298"/>
  <c r="N19" i="298"/>
  <c r="D53" i="298"/>
  <c r="D270" i="298" s="1"/>
  <c r="P19" i="298"/>
  <c r="P18" i="298"/>
  <c r="Q19" i="298"/>
  <c r="M53" i="298"/>
  <c r="L35" i="298"/>
  <c r="P35" i="298" s="1"/>
  <c r="P34" i="298"/>
  <c r="P50" i="298"/>
  <c r="P64" i="298"/>
  <c r="P161" i="298"/>
  <c r="P243" i="298"/>
  <c r="S18" i="298"/>
  <c r="S31" i="298"/>
  <c r="M35" i="298"/>
  <c r="Q35" i="298" s="1"/>
  <c r="Q50" i="298"/>
  <c r="Q64" i="298"/>
  <c r="Q161" i="298"/>
  <c r="Q243" i="298"/>
  <c r="R50" i="298"/>
  <c r="R64" i="298"/>
  <c r="R161" i="298"/>
  <c r="R243" i="298"/>
  <c r="Q18" i="298"/>
  <c r="S50" i="298"/>
  <c r="S64" i="298"/>
  <c r="S161" i="298"/>
  <c r="S243" i="298"/>
  <c r="N170" i="297"/>
  <c r="R170" i="297" s="1"/>
  <c r="F172" i="297"/>
  <c r="N172" i="297"/>
  <c r="R172" i="297" s="1"/>
  <c r="M25" i="297"/>
  <c r="Q25" i="297" s="1"/>
  <c r="D170" i="297"/>
  <c r="D172" i="297" s="1"/>
  <c r="D175" i="297" s="1"/>
  <c r="D200" i="297" s="1"/>
  <c r="L170" i="297"/>
  <c r="P170" i="297" s="1"/>
  <c r="N25" i="297"/>
  <c r="R25" i="297" s="1"/>
  <c r="O156" i="297"/>
  <c r="S156" i="297" s="1"/>
  <c r="G170" i="297"/>
  <c r="G172" i="297" s="1"/>
  <c r="O170" i="297"/>
  <c r="S170" i="297" s="1"/>
  <c r="L27" i="297"/>
  <c r="P27" i="297" s="1"/>
  <c r="R11" i="297"/>
  <c r="F27" i="297"/>
  <c r="F175" i="297" s="1"/>
  <c r="F200" i="297" s="1"/>
  <c r="D27" i="297"/>
  <c r="E27" i="297"/>
  <c r="S45" i="297"/>
  <c r="M91" i="297"/>
  <c r="Q91" i="297" s="1"/>
  <c r="E156" i="297"/>
  <c r="M156" i="297"/>
  <c r="Q156" i="297" s="1"/>
  <c r="E170" i="297"/>
  <c r="M170" i="297"/>
  <c r="Q170" i="297" s="1"/>
  <c r="G27" i="297"/>
  <c r="M27" i="297"/>
  <c r="O25" i="297"/>
  <c r="S25" i="297" s="1"/>
  <c r="L60" i="297"/>
  <c r="P73" i="297"/>
  <c r="S124" i="297"/>
  <c r="Q79" i="297"/>
  <c r="M60" i="297"/>
  <c r="Q60" i="297" s="1"/>
  <c r="R53" i="297"/>
  <c r="E172" i="297"/>
  <c r="E175" i="297" s="1"/>
  <c r="E200" i="297" s="1"/>
  <c r="R45" i="297"/>
  <c r="P124" i="297"/>
  <c r="P149" i="297"/>
  <c r="P168" i="297"/>
  <c r="R73" i="297"/>
  <c r="Q124" i="297"/>
  <c r="Q149" i="297"/>
  <c r="Q168" i="297"/>
  <c r="P11" i="297"/>
  <c r="P23" i="297"/>
  <c r="S53" i="297"/>
  <c r="S73" i="297"/>
  <c r="R124" i="297"/>
  <c r="R149" i="297"/>
  <c r="R168" i="297"/>
  <c r="M270" i="298" l="1"/>
  <c r="Q270" i="298" s="1"/>
  <c r="Q53" i="298"/>
  <c r="O270" i="298"/>
  <c r="S270" i="298" s="1"/>
  <c r="S53" i="298"/>
  <c r="N53" i="298"/>
  <c r="R19" i="298"/>
  <c r="L53" i="298"/>
  <c r="G175" i="297"/>
  <c r="G200" i="297" s="1"/>
  <c r="N27" i="297"/>
  <c r="O27" i="297"/>
  <c r="S27" i="297" s="1"/>
  <c r="O172" i="297"/>
  <c r="S172" i="297" s="1"/>
  <c r="L172" i="297"/>
  <c r="P60" i="297"/>
  <c r="M172" i="297"/>
  <c r="Q172" i="297" s="1"/>
  <c r="Q27" i="297"/>
  <c r="N270" i="298" l="1"/>
  <c r="R270" i="298" s="1"/>
  <c r="R53" i="298"/>
  <c r="L270" i="298"/>
  <c r="P270" i="298" s="1"/>
  <c r="P53" i="298"/>
  <c r="O175" i="297"/>
  <c r="O200" i="297" s="1"/>
  <c r="S200" i="297" s="1"/>
  <c r="M175" i="297"/>
  <c r="M200" i="297" s="1"/>
  <c r="Q200" i="297" s="1"/>
  <c r="N175" i="297"/>
  <c r="R27" i="297"/>
  <c r="P172" i="297"/>
  <c r="L175" i="297"/>
  <c r="S175" i="297"/>
  <c r="Q175" i="297" l="1"/>
  <c r="N200" i="297"/>
  <c r="R200" i="297" s="1"/>
  <c r="R175" i="297"/>
  <c r="L200" i="297"/>
  <c r="P200" i="297" s="1"/>
  <c r="P175" i="297"/>
  <c r="H184" i="296" l="1"/>
  <c r="H187" i="296" s="1"/>
  <c r="G184" i="296"/>
  <c r="F184" i="296"/>
  <c r="E184" i="296"/>
  <c r="D184" i="296"/>
  <c r="I183" i="296"/>
  <c r="I184" i="296" s="1"/>
  <c r="G178" i="296"/>
  <c r="F178" i="296"/>
  <c r="E178" i="296"/>
  <c r="D178" i="296"/>
  <c r="I177" i="296"/>
  <c r="I176" i="296"/>
  <c r="I178" i="296" s="1"/>
  <c r="E172" i="296"/>
  <c r="D172" i="296"/>
  <c r="I171" i="296"/>
  <c r="I170" i="296"/>
  <c r="I172" i="296" s="1"/>
  <c r="G166" i="296"/>
  <c r="F166" i="296"/>
  <c r="E166" i="296"/>
  <c r="D166" i="296"/>
  <c r="I165" i="296"/>
  <c r="I164" i="296"/>
  <c r="I166" i="296" s="1"/>
  <c r="G160" i="296"/>
  <c r="F160" i="296"/>
  <c r="E160" i="296"/>
  <c r="D160" i="296"/>
  <c r="I159" i="296"/>
  <c r="I158" i="296"/>
  <c r="I160" i="296" s="1"/>
  <c r="G154" i="296"/>
  <c r="F154" i="296"/>
  <c r="E154" i="296"/>
  <c r="D154" i="296"/>
  <c r="I153" i="296"/>
  <c r="I152" i="296"/>
  <c r="I151" i="296"/>
  <c r="I150" i="296"/>
  <c r="I154" i="296" s="1"/>
  <c r="I149" i="296"/>
  <c r="F145" i="296"/>
  <c r="E145" i="296"/>
  <c r="D145" i="296"/>
  <c r="I144" i="296"/>
  <c r="I143" i="296"/>
  <c r="F142" i="296"/>
  <c r="I142" i="296" s="1"/>
  <c r="G141" i="296"/>
  <c r="G145" i="296" s="1"/>
  <c r="E137" i="296"/>
  <c r="D137" i="296"/>
  <c r="G136" i="296"/>
  <c r="G137" i="296" s="1"/>
  <c r="F136" i="296"/>
  <c r="F137" i="296" s="1"/>
  <c r="E136" i="296"/>
  <c r="I136" i="296" s="1"/>
  <c r="I135" i="296"/>
  <c r="G131" i="296"/>
  <c r="F131" i="296"/>
  <c r="E131" i="296"/>
  <c r="D131" i="296"/>
  <c r="I130" i="296"/>
  <c r="I129" i="296"/>
  <c r="I131" i="296" s="1"/>
  <c r="G125" i="296"/>
  <c r="F125" i="296"/>
  <c r="E125" i="296"/>
  <c r="D125" i="296"/>
  <c r="I124" i="296"/>
  <c r="I123" i="296"/>
  <c r="I122" i="296"/>
  <c r="I125" i="296" s="1"/>
  <c r="G118" i="296"/>
  <c r="F118" i="296"/>
  <c r="F187" i="296" s="1"/>
  <c r="E118" i="296"/>
  <c r="D118" i="296"/>
  <c r="I117" i="296"/>
  <c r="I116" i="296"/>
  <c r="I115" i="296"/>
  <c r="I114" i="296"/>
  <c r="I118" i="296" s="1"/>
  <c r="G110" i="296"/>
  <c r="F110" i="296"/>
  <c r="E110" i="296"/>
  <c r="D110" i="296"/>
  <c r="I109" i="296"/>
  <c r="I108" i="296"/>
  <c r="I107" i="296"/>
  <c r="I106" i="296"/>
  <c r="I105" i="296"/>
  <c r="I110" i="296" s="1"/>
  <c r="G101" i="296"/>
  <c r="G187" i="296" s="1"/>
  <c r="F101" i="296"/>
  <c r="E101" i="296"/>
  <c r="E187" i="296" s="1"/>
  <c r="D101" i="296"/>
  <c r="D187" i="296" s="1"/>
  <c r="I100" i="296"/>
  <c r="I99" i="296"/>
  <c r="I98" i="296"/>
  <c r="I97" i="296"/>
  <c r="I96" i="296"/>
  <c r="I95" i="296"/>
  <c r="I101" i="296" s="1"/>
  <c r="H84" i="296"/>
  <c r="G84" i="296"/>
  <c r="I83" i="296"/>
  <c r="I84" i="296" s="1"/>
  <c r="H79" i="296"/>
  <c r="H86" i="296" s="1"/>
  <c r="G79" i="296"/>
  <c r="F79" i="296"/>
  <c r="E79" i="296"/>
  <c r="D79" i="296"/>
  <c r="I78" i="296"/>
  <c r="I79" i="296" s="1"/>
  <c r="I74" i="296"/>
  <c r="G74" i="296"/>
  <c r="F74" i="296"/>
  <c r="E74" i="296"/>
  <c r="D74" i="296"/>
  <c r="I73" i="296"/>
  <c r="G69" i="296"/>
  <c r="F69" i="296"/>
  <c r="E69" i="296"/>
  <c r="D69" i="296"/>
  <c r="I68" i="296"/>
  <c r="I69" i="296" s="1"/>
  <c r="G64" i="296"/>
  <c r="F64" i="296"/>
  <c r="E64" i="296"/>
  <c r="D64" i="296"/>
  <c r="I63" i="296"/>
  <c r="I62" i="296"/>
  <c r="I64" i="296" s="1"/>
  <c r="I58" i="296"/>
  <c r="G58" i="296"/>
  <c r="F58" i="296"/>
  <c r="E58" i="296"/>
  <c r="D58" i="296"/>
  <c r="I57" i="296"/>
  <c r="I56" i="296"/>
  <c r="F52" i="296"/>
  <c r="E52" i="296"/>
  <c r="D52" i="296"/>
  <c r="I51" i="296"/>
  <c r="I50" i="296"/>
  <c r="I52" i="296" s="1"/>
  <c r="G45" i="296"/>
  <c r="F45" i="296"/>
  <c r="E45" i="296"/>
  <c r="D45" i="296"/>
  <c r="I44" i="296"/>
  <c r="I43" i="296"/>
  <c r="I45" i="296" s="1"/>
  <c r="I39" i="296"/>
  <c r="G39" i="296"/>
  <c r="F39" i="296"/>
  <c r="E39" i="296"/>
  <c r="D39" i="296"/>
  <c r="I38" i="296"/>
  <c r="I37" i="296"/>
  <c r="G32" i="296"/>
  <c r="F32" i="296"/>
  <c r="E32" i="296"/>
  <c r="D32" i="296"/>
  <c r="I31" i="296"/>
  <c r="I32" i="296" s="1"/>
  <c r="G27" i="296"/>
  <c r="F27" i="296"/>
  <c r="E27" i="296"/>
  <c r="E86" i="296" s="1"/>
  <c r="D27" i="296"/>
  <c r="I26" i="296"/>
  <c r="I25" i="296"/>
  <c r="I27" i="296" s="1"/>
  <c r="I21" i="296"/>
  <c r="G21" i="296"/>
  <c r="F21" i="296"/>
  <c r="E21" i="296"/>
  <c r="D21" i="296"/>
  <c r="I20" i="296"/>
  <c r="I19" i="296"/>
  <c r="G15" i="296"/>
  <c r="G86" i="296" s="1"/>
  <c r="F15" i="296"/>
  <c r="F86" i="296" s="1"/>
  <c r="E15" i="296"/>
  <c r="D15" i="296"/>
  <c r="D86" i="296" s="1"/>
  <c r="I14" i="296"/>
  <c r="I13" i="296"/>
  <c r="I15" i="296" s="1"/>
  <c r="I86" i="296" s="1"/>
  <c r="Q12" i="294"/>
  <c r="P12" i="294"/>
  <c r="O12" i="294"/>
  <c r="N12" i="294"/>
  <c r="M12" i="294"/>
  <c r="L12" i="294"/>
  <c r="K12" i="294"/>
  <c r="J12" i="294"/>
  <c r="I12" i="294"/>
  <c r="H12" i="294"/>
  <c r="G12" i="294"/>
  <c r="F12" i="294"/>
  <c r="E12" i="294"/>
  <c r="D12" i="294"/>
  <c r="C12" i="294"/>
  <c r="S11" i="294"/>
  <c r="R11" i="294"/>
  <c r="S10" i="294"/>
  <c r="R10" i="294"/>
  <c r="S9" i="294"/>
  <c r="R9" i="294"/>
  <c r="S8" i="294"/>
  <c r="S12" i="294" s="1"/>
  <c r="D8" i="294"/>
  <c r="B8" i="294"/>
  <c r="B12" i="294" s="1"/>
  <c r="I137" i="296" l="1"/>
  <c r="I187" i="296" s="1"/>
  <c r="I141" i="296"/>
  <c r="I145" i="296" s="1"/>
  <c r="R8" i="294"/>
  <c r="R12" i="294" s="1"/>
  <c r="F13" i="291" l="1"/>
  <c r="E8" i="291"/>
  <c r="E22" i="291" s="1"/>
  <c r="D8" i="291"/>
  <c r="C8" i="291"/>
  <c r="C22" i="291" s="1"/>
  <c r="B8" i="291"/>
  <c r="F12" i="291"/>
  <c r="F11" i="291"/>
  <c r="F20" i="291"/>
  <c r="F19" i="291"/>
  <c r="F18" i="291"/>
  <c r="F17" i="291"/>
  <c r="F16" i="291"/>
  <c r="E15" i="291"/>
  <c r="D15" i="291"/>
  <c r="C15" i="291"/>
  <c r="B15" i="291"/>
  <c r="F14" i="291"/>
  <c r="F10" i="291"/>
  <c r="F9" i="291"/>
  <c r="F8" i="291" s="1"/>
  <c r="D22" i="291" l="1"/>
  <c r="B22" i="291"/>
  <c r="F15" i="291"/>
  <c r="F22" i="291" s="1"/>
  <c r="O8" i="288" l="1"/>
  <c r="O7" i="288"/>
  <c r="L8" i="288"/>
  <c r="L7" i="288"/>
  <c r="R7" i="288" s="1"/>
  <c r="G9" i="288"/>
  <c r="F9" i="288"/>
  <c r="E9" i="288"/>
  <c r="J8" i="288"/>
  <c r="J10" i="288" s="1"/>
  <c r="G8" i="288"/>
  <c r="F8" i="288"/>
  <c r="E8" i="288"/>
  <c r="G7" i="288"/>
  <c r="F7" i="288"/>
  <c r="E7" i="288"/>
  <c r="G12" i="289"/>
  <c r="Q10" i="288"/>
  <c r="P10" i="288"/>
  <c r="N10" i="288"/>
  <c r="M10" i="288"/>
  <c r="H10" i="288"/>
  <c r="S9" i="288"/>
  <c r="S8" i="288"/>
  <c r="S7" i="288"/>
  <c r="O36" i="287"/>
  <c r="O34" i="287"/>
  <c r="N33" i="287"/>
  <c r="M33" i="287"/>
  <c r="L33" i="287"/>
  <c r="K33" i="287"/>
  <c r="J33" i="287"/>
  <c r="I33" i="287"/>
  <c r="H33" i="287"/>
  <c r="G33" i="287"/>
  <c r="F33" i="287"/>
  <c r="E33" i="287"/>
  <c r="D33" i="287"/>
  <c r="C33" i="287"/>
  <c r="O32" i="287"/>
  <c r="O31" i="287"/>
  <c r="O30" i="287"/>
  <c r="N29" i="287"/>
  <c r="M29" i="287"/>
  <c r="L29" i="287"/>
  <c r="K29" i="287"/>
  <c r="J29" i="287"/>
  <c r="I29" i="287"/>
  <c r="I35" i="287" s="1"/>
  <c r="I37" i="287" s="1"/>
  <c r="H29" i="287"/>
  <c r="G29" i="287"/>
  <c r="F29" i="287"/>
  <c r="E29" i="287"/>
  <c r="E35" i="287" s="1"/>
  <c r="E37" i="287" s="1"/>
  <c r="D29" i="287"/>
  <c r="C29" i="287"/>
  <c r="C35" i="287" s="1"/>
  <c r="C37" i="287" s="1"/>
  <c r="O28" i="287"/>
  <c r="O27" i="287"/>
  <c r="O26" i="287"/>
  <c r="O25" i="287"/>
  <c r="O24" i="287"/>
  <c r="O19" i="287"/>
  <c r="O17" i="287"/>
  <c r="O16" i="287"/>
  <c r="F15" i="287"/>
  <c r="O15" i="287" s="1"/>
  <c r="N14" i="287"/>
  <c r="N18" i="287" s="1"/>
  <c r="M14" i="287"/>
  <c r="M18" i="287" s="1"/>
  <c r="L14" i="287"/>
  <c r="L18" i="287" s="1"/>
  <c r="K14" i="287"/>
  <c r="K18" i="287" s="1"/>
  <c r="J14" i="287"/>
  <c r="J18" i="287" s="1"/>
  <c r="I14" i="287"/>
  <c r="I18" i="287" s="1"/>
  <c r="H14" i="287"/>
  <c r="H18" i="287" s="1"/>
  <c r="G14" i="287"/>
  <c r="G18" i="287" s="1"/>
  <c r="F14" i="287"/>
  <c r="F18" i="287" s="1"/>
  <c r="E14" i="287"/>
  <c r="E18" i="287" s="1"/>
  <c r="D14" i="287"/>
  <c r="D18" i="287" s="1"/>
  <c r="C14" i="287"/>
  <c r="C18" i="287" s="1"/>
  <c r="O13" i="287"/>
  <c r="O12" i="287"/>
  <c r="O11" i="287"/>
  <c r="O10" i="287"/>
  <c r="O9" i="287"/>
  <c r="B37" i="285"/>
  <c r="D45" i="285"/>
  <c r="C45" i="285"/>
  <c r="B45" i="285"/>
  <c r="D37" i="285"/>
  <c r="C37" i="285"/>
  <c r="D24" i="285"/>
  <c r="C24" i="285"/>
  <c r="B24" i="285"/>
  <c r="D16" i="285"/>
  <c r="C16" i="285"/>
  <c r="B16" i="285"/>
  <c r="E65" i="284"/>
  <c r="D65" i="284"/>
  <c r="D145" i="283"/>
  <c r="D144" i="283"/>
  <c r="D143" i="283"/>
  <c r="D142" i="283"/>
  <c r="D138" i="283"/>
  <c r="D136" i="283"/>
  <c r="E135" i="283"/>
  <c r="D135" i="283"/>
  <c r="D134" i="283"/>
  <c r="D133" i="283"/>
  <c r="D132" i="283"/>
  <c r="D131" i="283"/>
  <c r="D130" i="283"/>
  <c r="D129" i="283"/>
  <c r="D128" i="283"/>
  <c r="D127" i="283"/>
  <c r="D126" i="283"/>
  <c r="D125" i="283"/>
  <c r="D124" i="283"/>
  <c r="D123" i="283"/>
  <c r="D121" i="283"/>
  <c r="D120" i="283"/>
  <c r="D119" i="283"/>
  <c r="D118" i="283"/>
  <c r="D117" i="283"/>
  <c r="D114" i="283"/>
  <c r="D113" i="283"/>
  <c r="E112" i="283"/>
  <c r="D112" i="283" s="1"/>
  <c r="E110" i="283"/>
  <c r="D110" i="283"/>
  <c r="D109" i="283"/>
  <c r="D108" i="283"/>
  <c r="D107" i="283"/>
  <c r="E106" i="283"/>
  <c r="D106" i="283"/>
  <c r="D105" i="283"/>
  <c r="D104" i="283"/>
  <c r="D103" i="283"/>
  <c r="D102" i="283"/>
  <c r="D101" i="283"/>
  <c r="D100" i="283"/>
  <c r="D99" i="283"/>
  <c r="D98" i="283"/>
  <c r="D97" i="283"/>
  <c r="D95" i="283"/>
  <c r="D93" i="283"/>
  <c r="D92" i="283"/>
  <c r="E90" i="283"/>
  <c r="D90" i="283" s="1"/>
  <c r="D89" i="283"/>
  <c r="D87" i="283"/>
  <c r="D86" i="283"/>
  <c r="D85" i="283"/>
  <c r="E83" i="283"/>
  <c r="D83" i="283"/>
  <c r="D82" i="283"/>
  <c r="D79" i="283"/>
  <c r="D74" i="283"/>
  <c r="D72" i="283"/>
  <c r="D71" i="283"/>
  <c r="D70" i="283"/>
  <c r="D69" i="283"/>
  <c r="E68" i="283"/>
  <c r="D68" i="283"/>
  <c r="D67" i="283"/>
  <c r="D63" i="283"/>
  <c r="D62" i="283"/>
  <c r="E61" i="283"/>
  <c r="D61" i="283" s="1"/>
  <c r="D60" i="283"/>
  <c r="E59" i="283"/>
  <c r="E146" i="283" s="1"/>
  <c r="D59" i="283"/>
  <c r="D58" i="283"/>
  <c r="D57" i="283"/>
  <c r="D56" i="283"/>
  <c r="D55" i="283"/>
  <c r="D54" i="283"/>
  <c r="D52" i="283"/>
  <c r="D51" i="283"/>
  <c r="D50" i="283"/>
  <c r="D49" i="283"/>
  <c r="D47" i="283"/>
  <c r="D44" i="283"/>
  <c r="D43" i="283"/>
  <c r="D42" i="283"/>
  <c r="D41" i="283"/>
  <c r="D40" i="283"/>
  <c r="D39" i="283"/>
  <c r="D38" i="283"/>
  <c r="D37" i="283"/>
  <c r="D36" i="283"/>
  <c r="D35" i="283"/>
  <c r="D34" i="283"/>
  <c r="D33" i="283"/>
  <c r="D32" i="283"/>
  <c r="D28" i="283"/>
  <c r="D27" i="283"/>
  <c r="D26" i="283"/>
  <c r="D23" i="283"/>
  <c r="D22" i="283"/>
  <c r="D21" i="283"/>
  <c r="D20" i="283"/>
  <c r="D19" i="283"/>
  <c r="D18" i="283"/>
  <c r="D13" i="283"/>
  <c r="D12" i="283"/>
  <c r="D11" i="283"/>
  <c r="D10" i="283"/>
  <c r="D9" i="283"/>
  <c r="D146" i="283" s="1"/>
  <c r="G35" i="287" l="1"/>
  <c r="G37" i="287" s="1"/>
  <c r="O33" i="287"/>
  <c r="K35" i="287"/>
  <c r="K37" i="287" s="1"/>
  <c r="J35" i="287"/>
  <c r="J37" i="287" s="1"/>
  <c r="D35" i="287"/>
  <c r="D37" i="287" s="1"/>
  <c r="M35" i="287"/>
  <c r="M37" i="287" s="1"/>
  <c r="N35" i="287"/>
  <c r="N37" i="287" s="1"/>
  <c r="L35" i="287"/>
  <c r="L37" i="287" s="1"/>
  <c r="H35" i="287"/>
  <c r="H37" i="287" s="1"/>
  <c r="F35" i="287"/>
  <c r="F37" i="287" s="1"/>
  <c r="O29" i="287"/>
  <c r="O10" i="288"/>
  <c r="S10" i="288"/>
  <c r="R8" i="288"/>
  <c r="G10" i="288"/>
  <c r="E10" i="288"/>
  <c r="F21" i="287"/>
  <c r="J21" i="287"/>
  <c r="N21" i="287"/>
  <c r="G21" i="287"/>
  <c r="C38" i="287"/>
  <c r="C21" i="287"/>
  <c r="D21" i="287"/>
  <c r="H21" i="287"/>
  <c r="L21" i="287"/>
  <c r="K21" i="287"/>
  <c r="E21" i="287"/>
  <c r="E39" i="287" s="1"/>
  <c r="E38" i="287"/>
  <c r="I21" i="287"/>
  <c r="I39" i="287" s="1"/>
  <c r="I38" i="287"/>
  <c r="M21" i="287"/>
  <c r="O14" i="287"/>
  <c r="O18" i="287" s="1"/>
  <c r="O21" i="287" s="1"/>
  <c r="F10" i="288"/>
  <c r="B25" i="285"/>
  <c r="C25" i="285"/>
  <c r="B46" i="285"/>
  <c r="D46" i="285"/>
  <c r="C46" i="285"/>
  <c r="D25" i="285"/>
  <c r="K38" i="287" l="1"/>
  <c r="G39" i="287"/>
  <c r="G38" i="287"/>
  <c r="O35" i="287"/>
  <c r="O37" i="287" s="1"/>
  <c r="D39" i="287"/>
  <c r="D38" i="287"/>
  <c r="L39" i="287"/>
  <c r="K39" i="287"/>
  <c r="J38" i="287"/>
  <c r="J39" i="287"/>
  <c r="M39" i="287"/>
  <c r="M38" i="287"/>
  <c r="N38" i="287"/>
  <c r="N39" i="287"/>
  <c r="L38" i="287"/>
  <c r="H39" i="287"/>
  <c r="H38" i="287"/>
  <c r="F38" i="287"/>
  <c r="F39" i="287"/>
  <c r="C40" i="287"/>
  <c r="D40" i="287" s="1"/>
  <c r="E40" i="287" s="1"/>
  <c r="F40" i="287" s="1"/>
  <c r="G40" i="287" s="1"/>
  <c r="H40" i="287" s="1"/>
  <c r="I40" i="287" s="1"/>
  <c r="J40" i="287" s="1"/>
  <c r="K40" i="287" s="1"/>
  <c r="L40" i="287" s="1"/>
  <c r="M40" i="287" s="1"/>
  <c r="N40" i="287" s="1"/>
  <c r="O40" i="287" s="1"/>
  <c r="C39" i="287"/>
  <c r="O39" i="287" l="1"/>
  <c r="O38" i="287"/>
  <c r="I7" i="288"/>
  <c r="K7" i="288" s="1"/>
  <c r="L23" i="281" l="1"/>
  <c r="K23" i="281"/>
  <c r="J23" i="281"/>
  <c r="I23" i="281"/>
  <c r="H23" i="281"/>
  <c r="G23" i="281"/>
  <c r="F23" i="281"/>
  <c r="E23" i="281"/>
  <c r="D23" i="281"/>
  <c r="C23" i="281"/>
  <c r="M22" i="281"/>
  <c r="M21" i="281"/>
  <c r="M20" i="281"/>
  <c r="M19" i="281"/>
  <c r="M23" i="281" s="1"/>
  <c r="L13" i="281"/>
  <c r="K13" i="281"/>
  <c r="J13" i="281"/>
  <c r="I13" i="281"/>
  <c r="H13" i="281"/>
  <c r="G13" i="281"/>
  <c r="F13" i="281"/>
  <c r="E13" i="281"/>
  <c r="C13" i="281"/>
  <c r="M12" i="281"/>
  <c r="M11" i="281"/>
  <c r="M10" i="281"/>
  <c r="M13" i="281" s="1"/>
  <c r="I8" i="288" l="1"/>
  <c r="K8" i="288" s="1"/>
  <c r="L9" i="288"/>
  <c r="I9" i="288"/>
  <c r="R9" i="288" l="1"/>
  <c r="R10" i="288" s="1"/>
  <c r="L10" i="288"/>
  <c r="K9" i="288"/>
  <c r="K10" i="288" s="1"/>
  <c r="I10" i="28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uthor>
  </authors>
  <commentList>
    <comment ref="D14" authorId="0" shapeId="0" xr:uid="{F526E405-C962-49A4-A8BF-F487C7AD44ED}">
      <text>
        <r>
          <rPr>
            <b/>
            <sz val="9"/>
            <color indexed="81"/>
            <rFont val="Tahoma"/>
            <family val="2"/>
            <charset val="238"/>
          </rPr>
          <t>2022.12.hó</t>
        </r>
      </text>
    </comment>
    <comment ref="E14" authorId="0" shapeId="0" xr:uid="{8BFD2C23-B562-405A-B57B-149060EAEA35}">
      <text>
        <r>
          <rPr>
            <b/>
            <sz val="9"/>
            <color indexed="81"/>
            <rFont val="Tahoma"/>
            <family val="2"/>
            <charset val="238"/>
          </rPr>
          <t>21.12-22.11.hó</t>
        </r>
      </text>
    </comment>
    <comment ref="D16" authorId="0" shapeId="0" xr:uid="{A1E9790E-D05B-4B50-868F-4A8F14453023}">
      <text>
        <r>
          <rPr>
            <b/>
            <sz val="9"/>
            <color indexed="81"/>
            <rFont val="Tahoma"/>
            <family val="2"/>
            <charset val="238"/>
          </rPr>
          <t>nem számlázott: 48.251.693,-
előlegen van: 10.736.666,-
ford.áfa: 1.746.284,-</t>
        </r>
      </text>
    </comment>
    <comment ref="D18" authorId="0" shapeId="0" xr:uid="{FB0C4527-0783-4375-ACE7-BB474F1FA73A}">
      <text>
        <r>
          <rPr>
            <b/>
            <sz val="9"/>
            <color indexed="81"/>
            <rFont val="Tahoma"/>
            <family val="2"/>
            <charset val="238"/>
          </rPr>
          <t>nem számlázott: 57.093.743,-
előlegen van: 38.098.350,-</t>
        </r>
      </text>
    </comment>
    <comment ref="D19" authorId="0" shapeId="0" xr:uid="{B9E8426A-85CD-461C-97A1-E4266C7632D9}">
      <text>
        <r>
          <rPr>
            <b/>
            <sz val="9"/>
            <color indexed="81"/>
            <rFont val="Tahoma"/>
            <family val="2"/>
            <charset val="238"/>
          </rPr>
          <t xml:space="preserve">nem számlázott: 28.864.398,-
előlegen van: 18.834.938,-
</t>
        </r>
      </text>
    </comment>
    <comment ref="E44" authorId="0" shapeId="0" xr:uid="{DBE18780-CF66-4716-ACB9-58B986CBFAB9}">
      <text>
        <r>
          <rPr>
            <b/>
            <sz val="9"/>
            <color indexed="81"/>
            <rFont val="Tahoma"/>
            <family val="2"/>
            <charset val="238"/>
          </rPr>
          <t>fél év</t>
        </r>
      </text>
    </comment>
    <comment ref="E50" authorId="0" shapeId="0" xr:uid="{53D530EF-63DB-44B7-A6ED-C8866CD433C3}">
      <text>
        <r>
          <rPr>
            <b/>
            <sz val="9"/>
            <color indexed="81"/>
            <rFont val="Tahoma"/>
            <family val="2"/>
            <charset val="238"/>
          </rPr>
          <t>07.01-től havi 40e</t>
        </r>
      </text>
    </comment>
    <comment ref="D53" authorId="0" shapeId="0" xr:uid="{67B582D7-BA23-4CEC-82E5-2EB0C80A4C6D}">
      <text>
        <r>
          <rPr>
            <b/>
            <sz val="9"/>
            <color indexed="81"/>
            <rFont val="Tahoma"/>
            <family val="2"/>
            <charset val="238"/>
          </rPr>
          <t>22.12.hó</t>
        </r>
      </text>
    </comment>
    <comment ref="E53" authorId="0" shapeId="0" xr:uid="{B4B6B1B0-D107-47F6-80FF-1FD52FA2FD11}">
      <text>
        <r>
          <rPr>
            <b/>
            <sz val="9"/>
            <color indexed="81"/>
            <rFont val="Tahoma"/>
            <family val="2"/>
            <charset val="238"/>
          </rPr>
          <t>2021.12.-22.11.hó:
11x100.600,-
1x112.415,-</t>
        </r>
      </text>
    </comment>
    <comment ref="E55" authorId="0" shapeId="0" xr:uid="{3E2D58CB-3FD2-4C31-B252-5F754A52E250}">
      <text>
        <r>
          <rPr>
            <b/>
            <sz val="9"/>
            <color indexed="81"/>
            <rFont val="Tahoma"/>
            <family val="2"/>
            <charset val="238"/>
          </rPr>
          <t>bérlet:    2.162.500,-
szja:           337.500,-
rezsi:          360.000,- (6 hó)
ÓVADÉK:1.000.000,-</t>
        </r>
      </text>
    </comment>
    <comment ref="E62" authorId="0" shapeId="0" xr:uid="{348D4126-EC22-4DA4-90D8-5FBF6D97BCC5}">
      <text>
        <r>
          <rPr>
            <b/>
            <sz val="9"/>
            <color indexed="81"/>
            <rFont val="Tahoma"/>
            <family val="2"/>
            <charset val="238"/>
          </rPr>
          <t>22.01-22.12.hó</t>
        </r>
      </text>
    </comment>
    <comment ref="E63" authorId="0" shapeId="0" xr:uid="{C34B58A8-B28A-4D7B-8484-1C7F74CDDD0E}">
      <text>
        <r>
          <rPr>
            <b/>
            <sz val="9"/>
            <color indexed="81"/>
            <rFont val="Tahoma"/>
            <family val="2"/>
            <charset val="238"/>
          </rPr>
          <t>199.700,- (anyag)
2*700.000,-</t>
        </r>
      </text>
    </comment>
    <comment ref="D83" authorId="0" shapeId="0" xr:uid="{F3D20861-33B1-4DFC-9527-92C00D3386AD}">
      <text>
        <r>
          <rPr>
            <b/>
            <sz val="9"/>
            <color indexed="81"/>
            <rFont val="Tahoma"/>
            <family val="2"/>
            <charset val="238"/>
          </rPr>
          <t>Adri:</t>
        </r>
        <r>
          <rPr>
            <sz val="9"/>
            <color indexed="81"/>
            <rFont val="Tahoma"/>
            <family val="2"/>
            <charset val="238"/>
          </rPr>
          <t xml:space="preserve">
25.400,-*12</t>
        </r>
      </text>
    </comment>
    <comment ref="E90" authorId="0" shapeId="0" xr:uid="{D9AB27BA-DED6-4884-814E-C43FC36251AF}">
      <text>
        <r>
          <rPr>
            <b/>
            <sz val="9"/>
            <color indexed="81"/>
            <rFont val="Tahoma"/>
            <family val="2"/>
            <charset val="238"/>
          </rPr>
          <t>ebből inkubátorház: 34.680,-</t>
        </r>
      </text>
    </comment>
    <comment ref="D99" authorId="0" shapeId="0" xr:uid="{E2E255B3-4840-4A29-8865-EFD7BA934792}">
      <text>
        <r>
          <rPr>
            <b/>
            <sz val="9"/>
            <color indexed="81"/>
            <rFont val="Tahoma"/>
            <family val="2"/>
            <charset val="238"/>
          </rPr>
          <t>Adri:</t>
        </r>
        <r>
          <rPr>
            <sz val="9"/>
            <color indexed="81"/>
            <rFont val="Tahoma"/>
            <family val="2"/>
            <charset val="238"/>
          </rPr>
          <t xml:space="preserve">
1.250.000,-+áfa/félév</t>
        </r>
      </text>
    </comment>
    <comment ref="E102" authorId="0" shapeId="0" xr:uid="{84478B44-1EBC-432A-B464-0035780B69D8}">
      <text>
        <r>
          <rPr>
            <b/>
            <sz val="9"/>
            <color indexed="81"/>
            <rFont val="Tahoma"/>
            <family val="2"/>
            <charset val="238"/>
          </rPr>
          <t>Adri:</t>
        </r>
        <r>
          <rPr>
            <sz val="9"/>
            <color indexed="81"/>
            <rFont val="Tahoma"/>
            <family val="2"/>
            <charset val="238"/>
          </rPr>
          <t xml:space="preserve">
2020.12.01-2021.11.30.</t>
        </r>
      </text>
    </comment>
    <comment ref="E104" authorId="0" shapeId="0" xr:uid="{9B3DEB63-0A02-48EE-992B-87A470D0C334}">
      <text>
        <r>
          <rPr>
            <b/>
            <sz val="9"/>
            <color indexed="81"/>
            <rFont val="Tahoma"/>
            <family val="2"/>
            <charset val="238"/>
          </rPr>
          <t>2020.12.01-2021.11.31.</t>
        </r>
      </text>
    </comment>
    <comment ref="E107" authorId="0" shapeId="0" xr:uid="{63D4E7F2-56BC-4AE6-AD6C-600F3096D865}">
      <text>
        <r>
          <rPr>
            <b/>
            <sz val="9"/>
            <color indexed="81"/>
            <rFont val="Tahoma"/>
            <family val="2"/>
            <charset val="238"/>
          </rPr>
          <t xml:space="preserve">2022.I.félév
</t>
        </r>
      </text>
    </comment>
    <comment ref="E109" authorId="0" shapeId="0" xr:uid="{44831746-81D7-45D6-A471-C424BC032B8E}">
      <text>
        <r>
          <rPr>
            <b/>
            <sz val="9"/>
            <color indexed="81"/>
            <rFont val="Tahoma"/>
            <family val="2"/>
            <charset val="238"/>
          </rPr>
          <t>22.09.01-12.31.</t>
        </r>
      </text>
    </comment>
    <comment ref="D115" authorId="0" shapeId="0" xr:uid="{E8B37A0B-63B1-40E0-80CF-4867BA32DF8E}">
      <text>
        <r>
          <rPr>
            <b/>
            <sz val="9"/>
            <color indexed="81"/>
            <rFont val="Tahoma"/>
            <family val="2"/>
            <charset val="238"/>
          </rPr>
          <t>pótmunka</t>
        </r>
      </text>
    </comment>
    <comment ref="D123" authorId="0" shapeId="0" xr:uid="{AD1E001F-D9E7-4823-B170-B19B4A0BAA08}">
      <text>
        <r>
          <rPr>
            <b/>
            <sz val="9"/>
            <color indexed="81"/>
            <rFont val="Tahoma"/>
            <family val="2"/>
            <charset val="238"/>
          </rPr>
          <t>átlag 130.000,-/hó wifi4eu-val együtt</t>
        </r>
      </text>
    </comment>
    <comment ref="D130" authorId="0" shapeId="0" xr:uid="{84727ED9-3829-4760-8228-88B6870B4D93}">
      <text>
        <r>
          <rPr>
            <b/>
            <sz val="9"/>
            <color indexed="81"/>
            <rFont val="Tahoma"/>
            <family val="2"/>
            <charset val="238"/>
          </rPr>
          <t>12x52.610,-</t>
        </r>
      </text>
    </comment>
    <comment ref="E130" authorId="0" shapeId="0" xr:uid="{2478D291-6BBC-4B88-A2BF-C8306C9AACF3}">
      <text>
        <r>
          <rPr>
            <b/>
            <sz val="9"/>
            <color indexed="81"/>
            <rFont val="Tahoma"/>
            <family val="2"/>
            <charset val="238"/>
          </rPr>
          <t>01-02.: 2x41.665,-
03-08: 6x52.325,-
09-12: 4x52.610,-</t>
        </r>
      </text>
    </comment>
    <comment ref="E138" authorId="0" shapeId="0" xr:uid="{EE8D4F46-6FFF-4D7E-A740-D5253C69BDB6}">
      <text>
        <r>
          <rPr>
            <b/>
            <sz val="9"/>
            <color indexed="81"/>
            <rFont val="Tahoma"/>
            <family val="2"/>
            <charset val="238"/>
          </rPr>
          <t>1*200.000,- (21.12.hó)
11*250.000,- (01-11.hó)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Kovács Zoltán</author>
  </authors>
  <commentList>
    <comment ref="D57" authorId="0" shapeId="0" xr:uid="{9971F7CC-777E-48B6-B1DD-D45BA51D43FB}">
      <text>
        <r>
          <rPr>
            <sz val="9"/>
            <color indexed="81"/>
            <rFont val="Tahoma"/>
            <family val="2"/>
            <charset val="238"/>
          </rPr>
          <t>Kossuth-szoborcsoportot és a lakótornyot összekötő gyalogos híd engedélyezési terve</t>
        </r>
      </text>
    </comment>
  </commentList>
</comments>
</file>

<file path=xl/sharedStrings.xml><?xml version="1.0" encoding="utf-8"?>
<sst xmlns="http://schemas.openxmlformats.org/spreadsheetml/2006/main" count="1623" uniqueCount="1016">
  <si>
    <t>1. Informatikai eszközök, szoftverek beszerzése</t>
  </si>
  <si>
    <t>2.1. Dombóvári Város- és Lakásgazdálkodási Nkft. tagi kölcsön</t>
  </si>
  <si>
    <t>Kölcsönök visszatérülése</t>
  </si>
  <si>
    <t xml:space="preserve"> </t>
  </si>
  <si>
    <t>Cím</t>
  </si>
  <si>
    <t>Alcím</t>
  </si>
  <si>
    <t>Cím neve</t>
  </si>
  <si>
    <t>I.</t>
  </si>
  <si>
    <t>IV.</t>
  </si>
  <si>
    <t>101. cím összesen:</t>
  </si>
  <si>
    <t>104. cím összesen:</t>
  </si>
  <si>
    <t>II.</t>
  </si>
  <si>
    <t>III.</t>
  </si>
  <si>
    <t>1. Tárgyi eszköz, ingatlanértékesítés</t>
  </si>
  <si>
    <t>V.</t>
  </si>
  <si>
    <t>Mindösszesen:</t>
  </si>
  <si>
    <t>103. cím összesen:</t>
  </si>
  <si>
    <t>VI.</t>
  </si>
  <si>
    <t>Felújítások</t>
  </si>
  <si>
    <t>VII.</t>
  </si>
  <si>
    <t>Személyi juttatások</t>
  </si>
  <si>
    <t>Kiadás összesen</t>
  </si>
  <si>
    <t>Összesen:</t>
  </si>
  <si>
    <t>eFt</t>
  </si>
  <si>
    <t>összesen:</t>
  </si>
  <si>
    <t>Dologi kiadások</t>
  </si>
  <si>
    <t>Önkormányzat költségvetési támogatása</t>
  </si>
  <si>
    <t>VIII.</t>
  </si>
  <si>
    <t>102. cím összesen:</t>
  </si>
  <si>
    <t>Önkormányzat</t>
  </si>
  <si>
    <t>1. Polgármesteri keret</t>
  </si>
  <si>
    <t>1. Helyi önkormányzat általános működésének és ágazati feladatainak támogatása</t>
  </si>
  <si>
    <t>I. alcím összesen:</t>
  </si>
  <si>
    <t>II. alcím összesen:</t>
  </si>
  <si>
    <t>III. alcím összesen:</t>
  </si>
  <si>
    <t>IV. alcím összesen:</t>
  </si>
  <si>
    <t>VI. alcím összesen:</t>
  </si>
  <si>
    <t>VII. alcím összesen:</t>
  </si>
  <si>
    <t>VIII. alcím összesen:</t>
  </si>
  <si>
    <t>KÖH Dombóvár</t>
  </si>
  <si>
    <t>kötelező
feladat</t>
  </si>
  <si>
    <t>önként vállalt
feladat</t>
  </si>
  <si>
    <t>eredeti ei.</t>
  </si>
  <si>
    <t>Dombóvári Közös Önkormányzati Hivatal</t>
  </si>
  <si>
    <t>Ellátottak pénzbeli juttatásai</t>
  </si>
  <si>
    <t>Egyéb működési célú kiadások</t>
  </si>
  <si>
    <t>Beruházások</t>
  </si>
  <si>
    <t>Egyéb felhalmozási célú kiadások</t>
  </si>
  <si>
    <t>Beruházások összesen:</t>
  </si>
  <si>
    <t>1. Egyéb működési célú támogatások államháztartáson belülre</t>
  </si>
  <si>
    <t>2. Egyéb működési célú támogatások államháztartáson kívülre</t>
  </si>
  <si>
    <t>Munkaadókat terh. járulékok és szoc. hozzájár. adó</t>
  </si>
  <si>
    <t>V. alcím összesen:</t>
  </si>
  <si>
    <t>4. Általános tartalék</t>
  </si>
  <si>
    <t>Átvett pénzeszközök</t>
  </si>
  <si>
    <t>Közhatalmi bevételek</t>
  </si>
  <si>
    <t>1. Felhalmozási célú kölcsönök visszatérülése</t>
  </si>
  <si>
    <t>1. Helyi adók</t>
  </si>
  <si>
    <t>VI. alcím összesen</t>
  </si>
  <si>
    <t>IX.</t>
  </si>
  <si>
    <t>3. Céltartalék felhalmozási célú</t>
  </si>
  <si>
    <t>3. Céltartalék működési célú</t>
  </si>
  <si>
    <t>Felhalmozási bevételek</t>
  </si>
  <si>
    <t>1.2. Építményadó</t>
  </si>
  <si>
    <t>1.3. Idegenforgalmi adó</t>
  </si>
  <si>
    <t>1.1. Magánszemélyek kommunális adója</t>
  </si>
  <si>
    <t>1.4. Iparűzési adó</t>
  </si>
  <si>
    <t>1. Működési célú átvett pénzeszközök államháztartáson kívülről</t>
  </si>
  <si>
    <t>2. Felhalmozási célú átvett pénzeszközök államháztartáson kívülről</t>
  </si>
  <si>
    <t>2. Működési célú kölcsönök visszatérülése</t>
  </si>
  <si>
    <t>1. Egyéb felhalmozási célú támogatások államháztartáson belülre</t>
  </si>
  <si>
    <t>2. Egyéb felhalmozási célú támogatások államháztartáson kívülre</t>
  </si>
  <si>
    <t>KÖH Szakcsi Kirendeltsége</t>
  </si>
  <si>
    <t>Munkaadókat terhelő járulékok és szociális hozzájárulási adó</t>
  </si>
  <si>
    <t>1.1. Működési hitel</t>
  </si>
  <si>
    <t>1.2. Beruházási hitel</t>
  </si>
  <si>
    <t>1.3. Likvid hitel</t>
  </si>
  <si>
    <t>Finanszírozási kiadások</t>
  </si>
  <si>
    <t>1. Hitelek, kölcsönök törlesztése</t>
  </si>
  <si>
    <t>2. Államháztartáson belüli megelőlegezések visszafizetése</t>
  </si>
  <si>
    <t>2. Intézményi vagyonbiztosítás és felelősségbiztosítás</t>
  </si>
  <si>
    <t>1. Települési támogatás</t>
  </si>
  <si>
    <t>1.1. Lakhatáshoz kapcsolódó rendszeres kiadások viseléséhez</t>
  </si>
  <si>
    <t>2. Köztemetés</t>
  </si>
  <si>
    <t>3. Kiegészítő gyermekvédelmi támogatás</t>
  </si>
  <si>
    <t>Működési bevételek</t>
  </si>
  <si>
    <t>1. Dombóvár</t>
  </si>
  <si>
    <t>2. Szakcsi Kirendeltség</t>
  </si>
  <si>
    <t>2. Önkormányzati vagyon bérbeadás</t>
  </si>
  <si>
    <t>2.1. Víziközmű bérleti díj</t>
  </si>
  <si>
    <t>2.1.1. Szennyvízhálózat</t>
  </si>
  <si>
    <t>2.1.2. Ivóvízhálózat</t>
  </si>
  <si>
    <t>1.4. Közös Önkormányzati Hivatal működtetéséhez hozzájárulás</t>
  </si>
  <si>
    <t>1.4.1. Közös Önkormányzati Hivatal működtetéséhez hozzájárulás Szakcs</t>
  </si>
  <si>
    <t>1.4.2. Közös Önkormányzati Hivatal működtetéséhez hozzájárulás Lápafő</t>
  </si>
  <si>
    <t>1.4.3. Közös Önkormányzati Hivatal működtetéséhez hozzájárulás Várong</t>
  </si>
  <si>
    <t>1.1. Lakásszerzési támogatás, szociális kölcsön</t>
  </si>
  <si>
    <t>Működési és fejlesztési célú bevételek és kiadások mérlege</t>
  </si>
  <si>
    <t>Bevételek megnevezése</t>
  </si>
  <si>
    <t>Kiadások megnevezése</t>
  </si>
  <si>
    <t>Munkaadókat terh. jár. és szoc. hozzáj. adó</t>
  </si>
  <si>
    <t>Állami hozzájárulások és támogatások</t>
  </si>
  <si>
    <t>Működési célú kölcsönök visszatérülése</t>
  </si>
  <si>
    <t>Rövidlejáratú hitel visszafizetése</t>
  </si>
  <si>
    <t>Működési célú maradvány</t>
  </si>
  <si>
    <t>Működési célú hitelfelvétel</t>
  </si>
  <si>
    <t>Működési célú kölcsönnyújtás</t>
  </si>
  <si>
    <t>Államháztartáson belüli megelőlegezések</t>
  </si>
  <si>
    <t>Céltartalék, általános tartalék (működési)</t>
  </si>
  <si>
    <t>Működési célú bevételek összesen:</t>
  </si>
  <si>
    <t>Működési célú kiadások összesen:</t>
  </si>
  <si>
    <t>Felhalmozási célú támogatás államháztartáson belülről</t>
  </si>
  <si>
    <t>Felhalmozási célú kölcsönök visszatérülése</t>
  </si>
  <si>
    <t>Felhalmozási célú maradvány</t>
  </si>
  <si>
    <t>Felhalmozási célú hitelfelvétel</t>
  </si>
  <si>
    <t>Felhalmozási célú kölcsönnyújtás</t>
  </si>
  <si>
    <t>Felhalmozási célú bevételek összesen:</t>
  </si>
  <si>
    <t>Felhalmozási célú kiadások összesen:</t>
  </si>
  <si>
    <t>Önkormányzati bevételek</t>
  </si>
  <si>
    <t>Önkormányzati kiadások</t>
  </si>
  <si>
    <t>Államháztartáson belüli megelőleg. visszafizetése</t>
  </si>
  <si>
    <t>Felújítások összesen:</t>
  </si>
  <si>
    <t>Felhalmozási célú hitel törlesztés</t>
  </si>
  <si>
    <t>1.1. Ingatlanok értékesítése</t>
  </si>
  <si>
    <t>1.2. Biztos Kezdet Gyerekház működtetésére</t>
  </si>
  <si>
    <t>1.3. Fogorvosi rendelő fenntartásához hozzájárulás</t>
  </si>
  <si>
    <t>1. Kisértékű tárgyi eszköz beszerzés</t>
  </si>
  <si>
    <t>1.1. Nemzeti Egészségbiztosítási Alapkezelőtől finanszírozás (védőnői ellátás, iskola eü.)</t>
  </si>
  <si>
    <t>Céltartalék (felhalmozási)</t>
  </si>
  <si>
    <t>Egyéb felhalmozási célú kiadások Áht-n belülre, Áht-n kívülre</t>
  </si>
  <si>
    <t>Egyéb működési célú kiadások Áht-n belülre, Áht-n kívülre</t>
  </si>
  <si>
    <t>1. Működési célú maradvány</t>
  </si>
  <si>
    <t>2. Felhalmozási célú maradvány</t>
  </si>
  <si>
    <t>1.1. Általános feladatok támogatása (B111)</t>
  </si>
  <si>
    <t>1.2. Egyes köznevelési feladatok támogatása (B112)</t>
  </si>
  <si>
    <t>2.1. Tinódi Ház Nkft. működésére</t>
  </si>
  <si>
    <t>2.2. Sporttámogatások sportszervezeteknek</t>
  </si>
  <si>
    <t>Finanaszírozási bevételek</t>
  </si>
  <si>
    <t>3. Hitelek</t>
  </si>
  <si>
    <t>3.1. Működési hitel</t>
  </si>
  <si>
    <t>3.2. Beruházási hitel</t>
  </si>
  <si>
    <t>3.3. Likvid hitel</t>
  </si>
  <si>
    <t>Támogatások államháztartáson belülről</t>
  </si>
  <si>
    <t>1. Egyéb működési célú támogatások államháztartáson belülről</t>
  </si>
  <si>
    <t>2. Egyéb felhalmozási célú támogatások államháztartáson belülről</t>
  </si>
  <si>
    <t>1.4.4. Közös Önkormányzati Hivatal működtetéséhez hozzájárulás Csikóstőttős</t>
  </si>
  <si>
    <t>1.4.5. Közös Önkormányzati Hivatal működtetéséhez hozzájárulás Attala</t>
  </si>
  <si>
    <t>KÖH Attalai Kirendeltsége</t>
  </si>
  <si>
    <t>KÖH Csikóstőttősi Kirendeltsége</t>
  </si>
  <si>
    <t>1. Választott tisztségviselők juttatásai</t>
  </si>
  <si>
    <t>3. Farkas Attila Uszoda</t>
  </si>
  <si>
    <t>4. Egyéb foglalkoztatottak személyi juttatásai</t>
  </si>
  <si>
    <t>4. Egyéb foglalkoztatottak</t>
  </si>
  <si>
    <t>5. A helyi önkormányzatok előző évi elszámolásából származó kiadások</t>
  </si>
  <si>
    <t>Működési célú támogatások államháztartáson belülről</t>
  </si>
  <si>
    <t>Dombóvári Művelődési Ház, Könyvtár és Helytörténeti Gyűjtemény</t>
  </si>
  <si>
    <t>1.2. Rendkívüli települési támogatás temetési költségek finanszírozásához</t>
  </si>
  <si>
    <t>1.3. Rendkívüli települési támogatás megélhetésre</t>
  </si>
  <si>
    <t>1.4. Iskolakezdési támogatás</t>
  </si>
  <si>
    <t>1.5. Utazási támogatás</t>
  </si>
  <si>
    <t>1.6. Gyermek születésének támogatása</t>
  </si>
  <si>
    <t>1.1. Dombóvári Szociális és Gyermekjóléti Intézményfenntartó Társulás működésre átadott pénzeszköz</t>
  </si>
  <si>
    <t>1.2. Dombóvári Illyés Gyula Gimnázium Tehetséggondozó Program támogatása</t>
  </si>
  <si>
    <t>1.4. Bursa Hungarica felsőoktatási ösztöndíj pályázat</t>
  </si>
  <si>
    <t>2.1. Helyi védelem alatt álló épületek felújítására</t>
  </si>
  <si>
    <t>3. Lakásgazdálkodás, bérleményhasznosítás - bérleti díj bevételek</t>
  </si>
  <si>
    <t>4. Közterület használati díj</t>
  </si>
  <si>
    <t>5. Terület bérbeadás</t>
  </si>
  <si>
    <t>6. Távhő vagyon bérbeadásából származó bevételek</t>
  </si>
  <si>
    <t>7. Farkas Attila Uszoda bevétele</t>
  </si>
  <si>
    <t>8. Balatonfenyvesi Ifjúsági Tábor bérbeadása</t>
  </si>
  <si>
    <t>2. Egyéb közhatalmi bevételek</t>
  </si>
  <si>
    <t>2.1. pótlék, bírság</t>
  </si>
  <si>
    <t>2.2. talajterhelési díj</t>
  </si>
  <si>
    <t>1.6. Nyári diákmunka támogatása</t>
  </si>
  <si>
    <t>1.7. Kiegészítő gyermekvédelmi támogatás</t>
  </si>
  <si>
    <t>2.1. Döbrököztől szennyvízcsatlakozáshoz hozzájárulás</t>
  </si>
  <si>
    <t>2.2. Farkas Attila Uszoda vizesblokk és öltöző felújítására</t>
  </si>
  <si>
    <t>9. Gunarasi gyerektábor</t>
  </si>
  <si>
    <t>1.3. Régészeti tárgyú pályázathoz önrész biztosítása</t>
  </si>
  <si>
    <t>4. Államháztartáson belüli megelőlegezések (B814)</t>
  </si>
  <si>
    <t>2.1. Lakosságtól szennyvízhozzájárulás</t>
  </si>
  <si>
    <t>2. Sportpályák (Szuhay Sportcentrum)</t>
  </si>
  <si>
    <t>1.5. Közfoglalkozatás támogatás, EFOP támogatás</t>
  </si>
  <si>
    <t>államig.
feladat</t>
  </si>
  <si>
    <t>1.11. Kaposmenti Társulástól kapott támogatás</t>
  </si>
  <si>
    <t>2.3. TOP-7.1.1-16-H-ERFA-2018-00032  Szigeterdei Közösségi Tér kialakítása</t>
  </si>
  <si>
    <t>2.4. TOP-1.1.1-16-TL1-2017-00002  Tüskei iparterület fejlesztése és új iparterület kialakítása</t>
  </si>
  <si>
    <t>1.1. Dombóvári HACS Egyesületnek nyújtott visszatérítendő támogatás</t>
  </si>
  <si>
    <t>1.2. Hamulyák Közalapítványnak nyújtott visszatérítendő támogatás</t>
  </si>
  <si>
    <t>2. Kisértékű tárgyi eszköz beszerzés</t>
  </si>
  <si>
    <t>3. Kisértékű tárgyi eszköz beszerzés Szakcs</t>
  </si>
  <si>
    <t>5. TOP-7.1.1-16-H-ERFA-2018-00032  Szigeterdei Közösségi Tér kialakítása</t>
  </si>
  <si>
    <t>1.7. Krízishelyzeti támogatás</t>
  </si>
  <si>
    <t>1.5. TOP-5.2.1-15-TL1-2016-00001 pályázat támogatási előleg visszafizetése</t>
  </si>
  <si>
    <t>3.1. TOP-7.1.1-16-H-ERFA-2018-00032  Szigeterdei Közösségi Tér kialakítása tartalék</t>
  </si>
  <si>
    <t>3.2. TOP-1.1.1-16-TL1-2017-00002  Tüskei iparterület fejlesztése és új iparterület kialakítása tartalék</t>
  </si>
  <si>
    <t>Felhalmozási célú átvett pénzeszközök</t>
  </si>
  <si>
    <t>Működési célú átvett pénzeszközök</t>
  </si>
  <si>
    <t>Eredeti előirányzat</t>
  </si>
  <si>
    <t>1.12. Társulás nettósítási különbözet</t>
  </si>
  <si>
    <t>6. Működési célú visszatérítendő támogatások, kölcsönök nyújtása államháztartáson kívülre</t>
  </si>
  <si>
    <t>2.2. Dombó-Land Kft. tagi kölcsön visszafizetés</t>
  </si>
  <si>
    <t>6. Védőnők</t>
  </si>
  <si>
    <t>7. 2023. évi szolidaritási hozzájárulás</t>
  </si>
  <si>
    <t>Több éves kihatással járó döntések számszerűsítése</t>
  </si>
  <si>
    <t>Rövid lejáratú  hitelek, kölcsönök törlesztése</t>
  </si>
  <si>
    <t>Ft</t>
  </si>
  <si>
    <t>Sorsz.</t>
  </si>
  <si>
    <t>Megnevezés</t>
  </si>
  <si>
    <t>Hitelfelvétel</t>
  </si>
  <si>
    <t>Törlesztések évente</t>
  </si>
  <si>
    <t>2023.</t>
  </si>
  <si>
    <t>2024.</t>
  </si>
  <si>
    <t>2025.</t>
  </si>
  <si>
    <t>2026.</t>
  </si>
  <si>
    <t>2027.</t>
  </si>
  <si>
    <t>2028.</t>
  </si>
  <si>
    <t>2029.</t>
  </si>
  <si>
    <t>Összesen</t>
  </si>
  <si>
    <t>1.</t>
  </si>
  <si>
    <t>2.</t>
  </si>
  <si>
    <t>3.</t>
  </si>
  <si>
    <t>Hosszú lejáratú beruházási hitelek törlesztése</t>
  </si>
  <si>
    <t>Törlesztés
összesen</t>
  </si>
  <si>
    <t>OTP célhitel beruházásokra (1-2-18-4600-0174-4)</t>
  </si>
  <si>
    <t>4.</t>
  </si>
  <si>
    <t>2023. 01.01. nyitóállomány</t>
  </si>
  <si>
    <t>2030.</t>
  </si>
  <si>
    <t>Kezesség típusa</t>
  </si>
  <si>
    <t>Kezességvállalás mértéke/hitelkeret
eFt</t>
  </si>
  <si>
    <t>Kezességvállalás kezdete</t>
  </si>
  <si>
    <t>Kezességvállalás időtartama/ lejárata</t>
  </si>
  <si>
    <t>Csökkenés 2024-ben</t>
  </si>
  <si>
    <t>2023. évi nyitó</t>
  </si>
  <si>
    <t>2023. évi növekedés</t>
  </si>
  <si>
    <t>Csökkenés 2023-ban</t>
  </si>
  <si>
    <t>Csökkenés 2025-ben</t>
  </si>
  <si>
    <t>2021. tény</t>
  </si>
  <si>
    <t>2023. eredeti</t>
  </si>
  <si>
    <t>Felhalmozási célú önkormányzati támogatások</t>
  </si>
  <si>
    <t>3. Foglalkozás-egészségügyi szolgáltatás</t>
  </si>
  <si>
    <t>1.3. Egyes szociális és gyermekjóléti feladatok támogatása (B1131)</t>
  </si>
  <si>
    <t>1.4. Gyermekétkeztetési feladatainak támogatása (B1132)</t>
  </si>
  <si>
    <t>1.5. Kulturális feladatok támogatása (B114)</t>
  </si>
  <si>
    <t>1. Szőlőhegyi kerékpárút II. ütem tervezése</t>
  </si>
  <si>
    <t>103. cím összesen</t>
  </si>
  <si>
    <t>101-103. intézmények összesen</t>
  </si>
  <si>
    <t>102. cím összesen</t>
  </si>
  <si>
    <t>4. Város- és községgazdálkodás</t>
  </si>
  <si>
    <t>5. Helyi utak fenntartása</t>
  </si>
  <si>
    <t>6. Útburkolati jelek festése</t>
  </si>
  <si>
    <t>7. Belvízvédelem, települési vízellátás</t>
  </si>
  <si>
    <t>8. Ingatlanok üzemeltetése</t>
  </si>
  <si>
    <t>9. Köztisztaság, parkfenntartás</t>
  </si>
  <si>
    <t>10. Közterületen lévő fák, fasorok cseréje, telepítése, rendezése, nyesése, eseti fakivágások, növénybeszerzés</t>
  </si>
  <si>
    <t>11. Temetőfenntartás</t>
  </si>
  <si>
    <t>12. Közvilágítás - üzemeltetés, karbantartás, bérleti díj</t>
  </si>
  <si>
    <t>13. Kamatfizetés</t>
  </si>
  <si>
    <t>13.1. Működési hitel után</t>
  </si>
  <si>
    <t>13.2. Beruházási hitel után</t>
  </si>
  <si>
    <t xml:space="preserve">14. Központi orvosi ügyelet </t>
  </si>
  <si>
    <t>15. Városi rendezvények</t>
  </si>
  <si>
    <t>16. Önkormányzati jogalkotás kiadásai</t>
  </si>
  <si>
    <t>17. Helyi tömegközlekedés biztosítása</t>
  </si>
  <si>
    <t>18. Városmarketing és kommunikációs feladatok</t>
  </si>
  <si>
    <t>19. Balatonfenyvesi és Gunarasi Ifjúsági Tábor üzemeltetése</t>
  </si>
  <si>
    <t>19.1. Balatonfenyves</t>
  </si>
  <si>
    <t>19.2. Gunaras</t>
  </si>
  <si>
    <t>20. ÁFA befizetés (építési telkek, víziközmű bérleti díj)</t>
  </si>
  <si>
    <t>21. Sportpályák üzemeltetése</t>
  </si>
  <si>
    <t>22. Településrendezési eszközök felülvizsgálata és módosítása</t>
  </si>
  <si>
    <t>23. TOP-5.2.1-15-TL1-2016-00001 A dombóvári Mászlony szegregátumban élők társadalmi integrációjának helyi szintű komplex programja</t>
  </si>
  <si>
    <t>24. TOP-5.2.1-15-TL1-2016-00002 pályázat A dombóvári Szigetsor-Vasút szegregátumban élők társadalmi integrációjának helyi szintű komplex programja</t>
  </si>
  <si>
    <t>25. TOP-5.2.1-15-TL1-2016-00003 A dombóvári Kakasdomb-Erzsébet utca szegregációval veszélyeztetett területén élők társadalmi integrációjának helyi szintű komplex programja</t>
  </si>
  <si>
    <t>26. TOP-4.3.1-15-TL1-2016-00002 Mászlony - oázis az agrársivatagban</t>
  </si>
  <si>
    <t>27. TOP-4.3.1-15-TL1-2016-00003 A dombóvári Szigetsor-Vasút szegregátumok rehabilitációja</t>
  </si>
  <si>
    <t>28. TOP-4.3.1-15-TL1-2016-00004 DARK projekt</t>
  </si>
  <si>
    <t>2. Közvilágítás bővítése, korszerűsítése, fejlesztése</t>
  </si>
  <si>
    <t>3. Térfigyelő kamerarendszer központi egységének áthelyezése</t>
  </si>
  <si>
    <t>1. Tárgyi eszköz beszerzés</t>
  </si>
  <si>
    <t>2.3. Mecsek Dráva Önkormányzati Társulás 2023. évi hozzájárulás</t>
  </si>
  <si>
    <t>2.4. Civil szervezetek támogatása</t>
  </si>
  <si>
    <t>2.5. Kapos Alapítvány támogatása</t>
  </si>
  <si>
    <t>2.6. Dombóvári Városszépítő és Városvédő Egyesület támogatása</t>
  </si>
  <si>
    <t>2.7. Dombóvári Polgárőr Egyesület támogatása</t>
  </si>
  <si>
    <t>2.8. Dombóvári Ifjúsági Fúvószenekar támogatása</t>
  </si>
  <si>
    <t>2.9. Dombóvári Városgazdálkodási Nkft. részére önerő közfoglalkoztatáshoz</t>
  </si>
  <si>
    <t>2.10. Szociális konyha szolgáltatás bevétellel nem fedezett kiadásaira Magyar Máltai Szeretetszolgálat Egyesületnek</t>
  </si>
  <si>
    <t>2. Százszorszép Tagóvodában megvalósuló beruházások</t>
  </si>
  <si>
    <t>1. Művelődési Ház pinceszínház felújítása</t>
  </si>
  <si>
    <t>1.2. Dombóvári Művelődési Ház, Könyvtár és Helytörténeti Gyűjtemény</t>
  </si>
  <si>
    <t>1.3. Dombóvári Közös Önkormányzati Hivatal</t>
  </si>
  <si>
    <t>1.1. Dombóvári Szivárvány Óvoda és Bölcsőde</t>
  </si>
  <si>
    <t>2.1. Dombóvári Szivárvány Óvoda és Bölcsőde</t>
  </si>
  <si>
    <t>2.2. Dombóvári Művelődési Ház, Könyvtár és Helytörténeti Gyűjtemény</t>
  </si>
  <si>
    <t>2.3. Dombóvári Közös Önkormányzati Hivatal</t>
  </si>
  <si>
    <t>1. Működési bevételek (segélyek visszafizetése, köztemetés, közig. bírság végrehajtásából, egyéb bevételek)</t>
  </si>
  <si>
    <t>2. Közvetített szolgáltatások ellenértéke (háziorvosi rendelők, tábor)</t>
  </si>
  <si>
    <t>10. Gyermekétkeztetés bevétele</t>
  </si>
  <si>
    <t>Ft-ban</t>
  </si>
  <si>
    <t>Szerződő fél</t>
  </si>
  <si>
    <t>Tárgy</t>
  </si>
  <si>
    <t>Lejárat/ teljesítési határidő</t>
  </si>
  <si>
    <t>Várható összeg (Ft/év) 2023.</t>
  </si>
  <si>
    <t>Összeg (Ft/év)  2022.</t>
  </si>
  <si>
    <t>infláció:</t>
  </si>
  <si>
    <t>5T Építészeti és Városfejlesztési Kft.</t>
  </si>
  <si>
    <t>Településrendezési tervek módosítása</t>
  </si>
  <si>
    <t>AEGON Magyarország Zrt</t>
  </si>
  <si>
    <t>Vagyonbiztosítás</t>
  </si>
  <si>
    <t>határozatlan</t>
  </si>
  <si>
    <t>Agrokemi Rt.</t>
  </si>
  <si>
    <t>gesztenyefák, platánfák, nyírfák, örökzöldek permetezése</t>
  </si>
  <si>
    <t>2022.12.31. (évente új szerződés)</t>
  </si>
  <si>
    <t>Allianz Hungária Zrt.</t>
  </si>
  <si>
    <t>casco - AHB952289006 gfb - SSE-546</t>
  </si>
  <si>
    <t>ATEV Fehérjefeldolgozó Rt.</t>
  </si>
  <si>
    <t>állati hulladék szállítása</t>
  </si>
  <si>
    <t>Balaskó János e.v.</t>
  </si>
  <si>
    <t>városi fúvószenekar felkészítése</t>
  </si>
  <si>
    <t>2022.12.31 (évente új szerződés)</t>
  </si>
  <si>
    <t>Balaskó Roland e.v.</t>
  </si>
  <si>
    <t>Önkormányzat és az általa fenntartott intézmények részére villanyszerelési, karbantartási munkák</t>
  </si>
  <si>
    <t>Baudai Építőipari Szolgáltató és Kereskedelmi Kft.</t>
  </si>
  <si>
    <t>II. részajánlati kör: Közösségi szőlészeti oktatóközpont és gazdasági tároló épület kialakítása - TOP-4.3.1-15-TL1-2016-00004 DARK - Kakasdomb-Erzsébet u.</t>
  </si>
  <si>
    <t>III. részajánlati kör: volt népkonyha épületének bontása - TOP-4.3.1-15-TL1-2016-00004 DARK - Kakasdomb-Erzsébet u.</t>
  </si>
  <si>
    <t>I. részajánlati kör: Szigetsor-Vasút szegregátumok rehabilitációja_III. - TOP-4.3.1-15-TL1-2016-00003</t>
  </si>
  <si>
    <t>munkaterület átadásától számított 270 naptári nap</t>
  </si>
  <si>
    <t>II. részajánlati kör: Szigetsor-Vasút szegregátumok rehabilitációja_III. - TOP-4.3.1-15-TL1-2016-00003</t>
  </si>
  <si>
    <t>BIOKOM Nonprofit Kft.</t>
  </si>
  <si>
    <t>32 m3-es konténer bérlete-Lucza hegyi hulladékudvar (zöldhulladékhoz), 15 m3-es konténer bérlete-Lucza hegyi hulladékudvar (padkaszemét gyűjtéséhez), 7 m3-es konténer bérlete-Lucza hegy (építési törmelékhez)</t>
  </si>
  <si>
    <t>zöldhulladék szállítása, ártalmatlanítása</t>
  </si>
  <si>
    <t>úttisztításból származó hulladék szállítása, ártalmatlanítása</t>
  </si>
  <si>
    <t xml:space="preserve">Építési törmelék szállítása, ártalmatlanítása </t>
  </si>
  <si>
    <t>BONYPLAN Beruházás-szervező és lebonyolító. Mérnöki Szolgáltató Bt.</t>
  </si>
  <si>
    <t>műszaki ellenőri feladatok-TOP-4.1.1-15-TL1-2020-00028, Szabadság u. 2. orvosi rendelő felújítása, 2.rész: beruházás II. üteme</t>
  </si>
  <si>
    <t>kivitelezéshez igazodóan</t>
  </si>
  <si>
    <t>Bölcsészettudományi Kutatóközpont</t>
  </si>
  <si>
    <t>dombói vár 2022. évi ásatási költségeinek fedezésére benyújtott pályázathoz önrész</t>
  </si>
  <si>
    <t>támogatói okirat BTK által az Önkormányzat részére megküldött példényának kézhezvételét követő 8 nap</t>
  </si>
  <si>
    <t>Calendula Patika Bt.</t>
  </si>
  <si>
    <t>Kórház u. 74. emeleti rész (159,2 m2) bérlete + rezsi költség - 2022.07.18-2023.06.30. (Szabadság u. 2. felújítás miatt)</t>
  </si>
  <si>
    <t>Csillag Társasház IB.</t>
  </si>
  <si>
    <t>vill. hálózat haszn. díja (térfigyelő r.)</t>
  </si>
  <si>
    <t>közös költség-Csillagház (bérlakások)</t>
  </si>
  <si>
    <t>Czétány László</t>
  </si>
  <si>
    <t>energetikai tanúsítvány-önkormányzati ingatlanok</t>
  </si>
  <si>
    <t>Czinege és Társa Szolg. Bt.</t>
  </si>
  <si>
    <t>önkormányzat által kijelölt ingatlanok értékbecslése</t>
  </si>
  <si>
    <t>DOMBÓ-LAND KFT.</t>
  </si>
  <si>
    <t>tájékoztatási és nyilvánossági feladatok-Ady u., Fő u. I. ütem, Fő u. II. ütem csapadékvíz-elvezető rendszer rekonstrukciója, TOP-2.1.3-16-TL1-2021-00023, TOP-2.1.3-16-TL1-2021-00024, TOP-2.1.3-16-TL1-2021-00025</t>
  </si>
  <si>
    <t>projekt fizikai befejezésének napja</t>
  </si>
  <si>
    <t>Dombó Pál Lakásépítő és Fenntartó</t>
  </si>
  <si>
    <t>közös ktg-Pannónia u. 34., 38. (hőközpontok), Pannónia u. 25.3. (raktár)</t>
  </si>
  <si>
    <t>közös költség Ady u. 8-12. üzlethelyiség</t>
  </si>
  <si>
    <t>közös ktg.-bérlakások (Liget ltp. 6/B., Pannónia u. 14. 2/5.)</t>
  </si>
  <si>
    <t>Dombóvár Hunyadi Téri Buszváró Üzletház</t>
  </si>
  <si>
    <t>közös költség-Hunyadi téri buszmegálló</t>
  </si>
  <si>
    <t>Dombóvárhő Kkt.</t>
  </si>
  <si>
    <t>bérlakások fűtése</t>
  </si>
  <si>
    <t>fűtés díja-Pannónia út 7. 2 lh. (üres üzlethelyiség)</t>
  </si>
  <si>
    <t>fűtési díj-Pannónia út 27. 4 lh (hőközpont)</t>
  </si>
  <si>
    <t>fűtés díja-Hunyadi tér 32. 4 lh. (üres üzlethelyiség)</t>
  </si>
  <si>
    <t>fűtési díj-Pannónia út 5. 3 lh. (védőnő)</t>
  </si>
  <si>
    <t>Dombóvári Evangélikus Általános Iskola és Alapfokú Művészeti Iskola</t>
  </si>
  <si>
    <t>diák helyi-járatos bérlet-települési támogatás</t>
  </si>
  <si>
    <t>Dombóvári Illyés Gyula Gimnáziumért Alapítvány</t>
  </si>
  <si>
    <t>Gimnáziumi Tehetséggondozó Program</t>
  </si>
  <si>
    <t>Dombóvári Szent Lukács Kórház</t>
  </si>
  <si>
    <t>Dombóvári Városgazd. Nkft.</t>
  </si>
  <si>
    <t>felújítási hozzájárulás-Kinizsi u. 37. JAM központ "U" alakú épület</t>
  </si>
  <si>
    <t>közfeladatok ellátása</t>
  </si>
  <si>
    <t>vissza nem térítendő támogatás közfoglalkoztatásra</t>
  </si>
  <si>
    <t>Dombóvári Vízmű Kft.</t>
  </si>
  <si>
    <t>Farkas Attila Tanuszoda adás-vétele</t>
  </si>
  <si>
    <t>Ingatlanvásárlás - 947/7 hrsz. \"kivett fűtőmű\"</t>
  </si>
  <si>
    <t>Dombőr Kft.</t>
  </si>
  <si>
    <t>portaszolgálat-Szabadság u. 18.</t>
  </si>
  <si>
    <t>Dr. Alacsony és Társa Kft.</t>
  </si>
  <si>
    <t>védőnői rész takarítása-IV. háziorvosi körzet</t>
  </si>
  <si>
    <t>Dr. Bátori Gyermekorvosi Bt.</t>
  </si>
  <si>
    <t>takarítás: Hóvirág u. (védőnői szolgálat, 30.000,-ft/hó)</t>
  </si>
  <si>
    <t>Dr. Belt Éva</t>
  </si>
  <si>
    <t>takarítás, gázszolgáltatás-III. u. 35. védőnői szolgálat</t>
  </si>
  <si>
    <t xml:space="preserve">dr.  Pucsli és Tsa. Bt. </t>
  </si>
  <si>
    <t>üzemorvosi ellátás</t>
  </si>
  <si>
    <t>iskola eü. feladat</t>
  </si>
  <si>
    <t>Dr. Szenderné Dr. Kotz Hildegard Ágnes</t>
  </si>
  <si>
    <t>Jókai u. 14. 1. (orvosi rendelő) bérlete + rezsi</t>
  </si>
  <si>
    <t>DRV Zrt</t>
  </si>
  <si>
    <t>víz-önkormányzati fogyasztási helyek</t>
  </si>
  <si>
    <t>Eatrend Kft.</t>
  </si>
  <si>
    <t>gyermekétkeztetési feladatok</t>
  </si>
  <si>
    <t>Elektromotive Hungaria Kft.</t>
  </si>
  <si>
    <t>Hunyadi tér 782/6. hrsz. (elektromos autótöltő) karbantartása</t>
  </si>
  <si>
    <t>E.ON Energiaszolgáltató Kft./MVM Next Energiakereskedelmi Zrt.</t>
  </si>
  <si>
    <t>áram-ingatlanok, vízátemelők stb…</t>
  </si>
  <si>
    <t>E.ON Energiaszolgáltató Kft.</t>
  </si>
  <si>
    <t>gáz-ingatlanok</t>
  </si>
  <si>
    <t>Emberi Erőforrás Támogatáskezelő</t>
  </si>
  <si>
    <t>Bursa Hungarica ösztöndíj</t>
  </si>
  <si>
    <t>Emergency Service Egészségügyi Szolgáltató Kft.</t>
  </si>
  <si>
    <t>ügyeleti feladatok ellátása</t>
  </si>
  <si>
    <t>Esküdt Timea ev.</t>
  </si>
  <si>
    <t>rágcsáló, kártevő és rovarirtás város területén, Szuhay SC/Lucza hegyi hulladéklerakó területén legyek írtása</t>
  </si>
  <si>
    <t>Eures Consulting Kft.</t>
  </si>
  <si>
    <t>Dombóvári Szabadidő- és Sportcentrum komplex üzemeltetési és hasznosítási koncepciójának kialakítása</t>
  </si>
  <si>
    <t>projekt fizikai befejezése</t>
  </si>
  <si>
    <t>Gamaterv Mérnökiroda Bt.</t>
  </si>
  <si>
    <t>rehabilitációs környezettervező szakértői feladatok-TOP-4.3.1-15-TL1-2016-00003</t>
  </si>
  <si>
    <t>kivitelezés műszaki átádásának napja</t>
  </si>
  <si>
    <t>Gázt Adunk Kft.</t>
  </si>
  <si>
    <t>védett épület felújításához támogatás</t>
  </si>
  <si>
    <t>Gemenc Bau Tolna Építőipari és Szolgáltató Kft.</t>
  </si>
  <si>
    <t>Újdombóvári utcanyitásokhoz kapcsolódó víziközmű (víz, szennyvíz) tervezési feladatok</t>
  </si>
  <si>
    <t>vízjogi létesítési engedély megszerzésétől számított 60 nap</t>
  </si>
  <si>
    <t>Golden Talk Hungary Kft.</t>
  </si>
  <si>
    <t>rádióműsor készítése-Rádió Plusz Dombóvár</t>
  </si>
  <si>
    <t>Gond-X Kft.</t>
  </si>
  <si>
    <t>Szigeterdei lakótorony 24 órás távfelügyelete</t>
  </si>
  <si>
    <t>biztonságtechn. távfelügy.,műszaki kész./karb.-Termál  u. 5.</t>
  </si>
  <si>
    <t>Govern-Soft Kft.</t>
  </si>
  <si>
    <t>Menza-Pure nyilvántartó rendszer</t>
  </si>
  <si>
    <t>Groupama Garancia Biztosító Zrt.</t>
  </si>
  <si>
    <t>Orvosi felelősségbiztosítás-dr. Pucsli E. (Bajcsy Zs. 5.)</t>
  </si>
  <si>
    <t>Hajós Építész Iroda Kft.</t>
  </si>
  <si>
    <t>Dombóvári Szabadidő- és Sportcentrum kivitelezésére vonatkozó költség- és időkalkuláció elkészítése</t>
  </si>
  <si>
    <t>Dombóvári Szabadidő- és Sportcentrum tervezése</t>
  </si>
  <si>
    <t>Halmai József e.v.</t>
  </si>
  <si>
    <t>rágcsáló, kártevő és rovarírtás</t>
  </si>
  <si>
    <t>ITA BONUM Kft.</t>
  </si>
  <si>
    <t>Közgbeszerzési eljárás lebonyoolítása: Dombóvár, Ady E. u. csapadékvíz elvezető rendszer rekonstrukciója - TOP-2.1.3-16-TL1-2021-00023</t>
  </si>
  <si>
    <t>közbeszerzés eredményes lefolytatásáig</t>
  </si>
  <si>
    <t>Közgbeszerzési eljárás lebonyoolítása: Dombóvár, Fő u. I. ütem nyugati utcarész csapadékvíz elvezető rendszer rekonstrukciója - TOP-2.1.3-16-TL1-2021-00024</t>
  </si>
  <si>
    <t>Közgbeszerzési eljárás lebonyoolítása: Dombóvár, Fő u. II. ütem keleti utcarész csapadékvíz elvezető rendszer rekonstrukciója - TOP-2.1.3-16-TL1-2021-00025</t>
  </si>
  <si>
    <t>Juhász-Terv Tervező és Vállalkozó Bt.</t>
  </si>
  <si>
    <t>Újdombóvári utcanyitásokhoz kapcsolódó közlekedési építmények és csapadékvíz elvezetés engedélyezési és kiviteli terveinek elkészítése</t>
  </si>
  <si>
    <t>építési engedély megszerzésétől számított 60 naptári nap</t>
  </si>
  <si>
    <t>Kapos-Menti Területi- és Vidékfejlesztési Társulás</t>
  </si>
  <si>
    <t>Kapos-menti Hírlevél hozzájárulás</t>
  </si>
  <si>
    <t>Tolnatáj TV Kapos-menti Magazin</t>
  </si>
  <si>
    <t>tagdíj</t>
  </si>
  <si>
    <t>Karádi-Kontroll Kft</t>
  </si>
  <si>
    <t>Tűzvédelmi feladatok elvégzése</t>
  </si>
  <si>
    <t>Közép-Dunántúli Vizügy.Ig.Balatoni Kir.</t>
  </si>
  <si>
    <t>mederhasználat díja Balatonfenyves tábor</t>
  </si>
  <si>
    <t>K-PLAN Építő Szolgáltató és Kereskedelmi KFt.</t>
  </si>
  <si>
    <t>"volt zeneiskola épületének felújítása" tárgyú beuházás kivitelezése (még nem lépett hatályba a szerződés)</t>
  </si>
  <si>
    <t>180 nap</t>
  </si>
  <si>
    <t>Szabadság utcai orvosi rendelő felújítása II. ütem tárgyú beruházás kivitelezése (még nem lépett hatályba a szerződés)</t>
  </si>
  <si>
    <t>8 hónap</t>
  </si>
  <si>
    <t>Maár Építész Iroda Kft.</t>
  </si>
  <si>
    <t>műszaki ellenőri feladatok ellátása a TOP-4.3.1-15-TL1-2016-00003 Szigetsor-Vasút szegregátumok rehabilitációja projektben</t>
  </si>
  <si>
    <t>műszaki ellenőri feladatok ellátása magasépítési munkák tekintetében a TOP-4.3.1-15-TL1-2016-00004 "DARK-Dombóvári Akcióterületi Rehabilitáció Kakasdomb-Erzsébet utca szegregációval veszélyeztetett területeken projekt keretében</t>
  </si>
  <si>
    <t>volt Zeneiskola épületének felújítása során műszaki ellenőri feladatok ellátása</t>
  </si>
  <si>
    <t>Magyar Telekom Nyrt.</t>
  </si>
  <si>
    <t>uszoda tűzjelző, telefon</t>
  </si>
  <si>
    <t>Márkus Mérnöki Iroda Kft</t>
  </si>
  <si>
    <t>Műszaki ellenőri feladatok-Kéknefelejcs-Ibolya u. ivóvízhálózat rekonstrukció</t>
  </si>
  <si>
    <t>MÁV Zrt.</t>
  </si>
  <si>
    <t>bérleti díj, ingatlankezelési díj, közüzemi díjak-Földvár u. 35. (1889/21 hrsz., burkolatlan terület)</t>
  </si>
  <si>
    <t>Mecsek-Dráva Önkormányzati Társulás</t>
  </si>
  <si>
    <t>intézmény működtetés támogatása</t>
  </si>
  <si>
    <t>Mediaworks Hungary Zrt.</t>
  </si>
  <si>
    <t>Tolnai Népújságban való megjelenések díja</t>
  </si>
  <si>
    <t>Mezőföldi Regionális Víziközmű Kft.</t>
  </si>
  <si>
    <t>fürdővíz laborvizsgálata-uszoda</t>
  </si>
  <si>
    <t>Mikrolift Kft</t>
  </si>
  <si>
    <t>Hóvirág u. 1. HO felvonó karbantartása</t>
  </si>
  <si>
    <t>MMSZ Esterházy Miklós Technikum</t>
  </si>
  <si>
    <t>Mobil Adat Kft.</t>
  </si>
  <si>
    <t>kiskassza díjcsomag-uszoda</t>
  </si>
  <si>
    <t>Multi Alarm Zrt.</t>
  </si>
  <si>
    <t>térfigyelő kamerarendszer és térfigyelő központ féléves ciklusonkénti karbantartása és hibajavítása</t>
  </si>
  <si>
    <t>Borsos M. utca és a Köztársaság u. kereszteződésében szükséges oszlopállítás és a már meglévő térfigyelő technika áthelyezése</t>
  </si>
  <si>
    <t>MVM Next Energiakereskedelmi Zrt.</t>
  </si>
  <si>
    <t>gáz-bérlakások, Szabadság u. 4.</t>
  </si>
  <si>
    <t>Nagyné Messinger Tímea</t>
  </si>
  <si>
    <t>szakmai vezetői feladatok-TOP-5.2.1-15-TL1-2016-00001 (Mászlony szegregátum társadalmi integrációja)</t>
  </si>
  <si>
    <t>szakmai vezetői feladatok-TOP-5.2.1-15-TL1-2016-00002 (Szigetsor-Vasút szegregátum társadalmi integrációja)</t>
  </si>
  <si>
    <t>szakmai vezetői feladatok-TOP-5.2.1-15-TL1-2016-00003 (Kakasdomb-Erzsébet u. társadalmi integrációja)</t>
  </si>
  <si>
    <t>Nemcsényi Gábor e.v.</t>
  </si>
  <si>
    <t>webdesign, weblap tervezése, weblap karbantartása</t>
  </si>
  <si>
    <t>Nemzeti Hulladékgazdálkodási Koordináló és Vagyonkezelő Zrt.</t>
  </si>
  <si>
    <t>Hulladékszállítás-városi kukák ürítése, Hóvirág u. házoirvosi rendelő, Baltonfenyves, hulladékudvar…</t>
  </si>
  <si>
    <t>Népköztársaság u. 23.- 25.- 27.- 29. Társasház</t>
  </si>
  <si>
    <t>közös költség Pannónia u 23-29 garázs</t>
  </si>
  <si>
    <t>közös költség Pannónia u. 27. üzlet</t>
  </si>
  <si>
    <t>Népköztársaság u. 40. Társasház</t>
  </si>
  <si>
    <t>közös költség-Pannónia út 40. fsz/1. (raktárként használt üzlethelyiség)</t>
  </si>
  <si>
    <t>Őri Gábor e.v.</t>
  </si>
  <si>
    <t>rendezvényekhez kapcsolódó szolgáltatások: grafikai anyagok tervezése, fotódokumentáció készítése...</t>
  </si>
  <si>
    <t>Petrónus Vagyonértékelő és Szolgáltató Kft.</t>
  </si>
  <si>
    <t>értékbecslés-önkormányzat által kijelölt ingatlanok-</t>
  </si>
  <si>
    <t>Pécsi Környezetvédelmi Kft.</t>
  </si>
  <si>
    <t>veszélyes hulladék szállítás /védőnők</t>
  </si>
  <si>
    <t>Radics Ferenc ev.</t>
  </si>
  <si>
    <t>értékbecslés-önkormányzat által kijelölt ingatlanok</t>
  </si>
  <si>
    <t>Reality - Property Kft.</t>
  </si>
  <si>
    <t>RP-SC Holding Szolgáltató Kft.</t>
  </si>
  <si>
    <t>Bezerédj u. ivóvízvezeték rekonstrukció I. ütem II. eljárás (pótmunka)</t>
  </si>
  <si>
    <t>Sió-Procent Kft.</t>
  </si>
  <si>
    <t>energetikai tanúsítás/audit elvégzése a beruházás utáni állapotra-TOP-4.3.1-15-TL1-2016-00002</t>
  </si>
  <si>
    <t>kivitelezés műszaki átadásának napja</t>
  </si>
  <si>
    <t>Szekszárdi Tankerületi Központ</t>
  </si>
  <si>
    <t>Szent Orsolya Rendi Bencés Általános Iskola, Alapfokú Művészeti Iskola és Kollégium</t>
  </si>
  <si>
    <t>Tamási Tankerületi Központ</t>
  </si>
  <si>
    <t>diák helyi-járatos bérlet-települési támogatás (Illyés Gyula Gimnázium, József Attila Ált. Iskola., Belvárosi Ált. Iskola)</t>
  </si>
  <si>
    <t>Tanácsköztársaság tér 7-9. társasház</t>
  </si>
  <si>
    <t>közös költség-Platán tér 9. fsz. 3. (bérlakás)</t>
  </si>
  <si>
    <t>TANK-SZER Kft</t>
  </si>
  <si>
    <t>üzemanyag-Szuhay SC (SSE-546, traktorok)</t>
  </si>
  <si>
    <t>"Tarai" Orvosi, Ápolási és Kereskedelmi Bt.</t>
  </si>
  <si>
    <t>Tarr KFT.</t>
  </si>
  <si>
    <t>Internet előfizetési díj-Szuhay Sportcentrum, Hunyadi tér 23-25., Fő u. 36. (free wi-fi), wifi4eu…</t>
  </si>
  <si>
    <t>Internet előfizetési díj-Bajcsy Zs. u. 2.</t>
  </si>
  <si>
    <t>Tárnok-Trans Kft.</t>
  </si>
  <si>
    <t>Helyi személyszállítási közszolgáltatás ellátása</t>
  </si>
  <si>
    <t>Társasház Dombóvár Kórház u. 2.</t>
  </si>
  <si>
    <t>Kórház u. 2. homlokzat javítás és festés</t>
  </si>
  <si>
    <t>Társasház Hunyadi tér 30-32.</t>
  </si>
  <si>
    <t>közös költség-Hunyadi tér 30-32. (6 üzlethelyiség)</t>
  </si>
  <si>
    <t>Társasház Hunyadi tér 34 A/B.</t>
  </si>
  <si>
    <t>közös költség-Hunyadi tér 34. (üzlet)</t>
  </si>
  <si>
    <t>Társasház Hunyadi tér 37-41. Népköztársaság 52-56.</t>
  </si>
  <si>
    <t>Pannónia u. 56. rendelő közös ktg.-fel.ellátási szerz. alap.-2021. közös költség-Pannónia u. 54., Pannónia u. 56. (bérlakások)</t>
  </si>
  <si>
    <t>Társasház Kaposszekcső, Liget ltp. 5.</t>
  </si>
  <si>
    <t>közös költség-Liget ltp. 5./A, B, C lépcsőházak (bérlakások)</t>
  </si>
  <si>
    <t>Tender Terv Kft.</t>
  </si>
  <si>
    <t>Dombóvár csapadékvíz elvezető rendszer rekonstrukciójának tervezése 1. rész (Ady u.) - TOP-2.1.3-16-TL1-2021-00023</t>
  </si>
  <si>
    <t>utolsó engedély kézhezvételének napjától számított 14 naptári nap</t>
  </si>
  <si>
    <t>Dombóvár csapadékvíz elvezető rendszer rekonstrukciójának tervezése 2. rész (Fő u. I. ütem) - TOP-2.1.3-16-TL1-2021-00024</t>
  </si>
  <si>
    <t>Dombóvár csapadékvíz elvezető rendszer rekonstrukciójának tervezése 3. rész (Fő u. II. ütem) - TOP-2.1.3-16-TL1-2021-00025</t>
  </si>
  <si>
    <t>Tolna Megyei Szakképzési Centrum</t>
  </si>
  <si>
    <t>Tóth Temetkezés Kegyeleti Kft.</t>
  </si>
  <si>
    <t>köztemetés</t>
  </si>
  <si>
    <t>2022.12.28 (lesz új szerződés)</t>
  </si>
  <si>
    <t>U Light ESCO Kft.</t>
  </si>
  <si>
    <t>közvilágítási elemek karbantartása-"aktív"</t>
  </si>
  <si>
    <t>Útvonal 2002 Bt.</t>
  </si>
  <si>
    <t>mélyépítés TOP-4.3.1-15-TL1-2016-00003 Szigetsor-Vasút - műszaki ellenőri feladatok ellátása</t>
  </si>
  <si>
    <t>Varga Szilvia</t>
  </si>
  <si>
    <t>Imázs építés, arculati megjelenés érdekében együttműködés, tanácsadás, sajtómeghívókhoz dokumentumok beszerzése...</t>
  </si>
  <si>
    <t>kommunikációs feladatok ellátása-TOP-5.2.1-15-TL1-2016-00001 Mászlony</t>
  </si>
  <si>
    <t>kommunikációs feladatok ellátása-TOP-5.2.1-15-TL1-2016-00002 Szigetsor-Vasút szegregátum</t>
  </si>
  <si>
    <t>kommunikációs feladatok ellátása-TOP-5.2.1-15-TL1-2016-00003 Kakasdomb-Erzsébet u.</t>
  </si>
  <si>
    <t>Vasútegészségügyi Nkft.</t>
  </si>
  <si>
    <t>7200 Dombóvár, Kandó K. u. 1. sz. alatti rendelő bérleti díja (Dr. Keller Margit fogorvos)</t>
  </si>
  <si>
    <t>Vitarex Stúdió Kft.</t>
  </si>
  <si>
    <t>szoftver átalánydíj-Stefánia Védőnői Nyilvántartó rendszer</t>
  </si>
  <si>
    <t>ZNET Telekom Zrt.</t>
  </si>
  <si>
    <t>AirBusiness 10/10 internet-Víztorony</t>
  </si>
  <si>
    <t>kamerarendszer karbantartása, üzem.-Víztorony</t>
  </si>
  <si>
    <t>Összeg (Ft/év)  2022</t>
  </si>
  <si>
    <t>ABACUS Számítástechnikai Bt.</t>
  </si>
  <si>
    <t>WinSzoc szoftver jogszabálykövetése</t>
  </si>
  <si>
    <t>Albacomp RI Kft.</t>
  </si>
  <si>
    <t>Elektronikus információbiztonsági feladatok ellátása</t>
  </si>
  <si>
    <t>Allianz Hungária Biztosító RT</t>
  </si>
  <si>
    <t>gépjármű-felelősség biztosítás / Derbi segédmotor, XYD, LKU, LOX,THA/, Casco / EIE, LKU/SUZUKI-THA</t>
  </si>
  <si>
    <t>Lechner Nonprofit Kft.</t>
  </si>
  <si>
    <t>TAKARNET adatátv.hálózathoz-hálózati díj és tuladoni lap más</t>
  </si>
  <si>
    <t xml:space="preserve">lekérdezés alapján havonta </t>
  </si>
  <si>
    <t>e-hiteles tuljadoni lap más.,nem hiteles térképmás...-Szakcs</t>
  </si>
  <si>
    <t>Daemia Kft.</t>
  </si>
  <si>
    <t>vírusirtó program Linux operációs rendszer</t>
  </si>
  <si>
    <t>Kaspersky vírus-és spam védelem-licensz</t>
  </si>
  <si>
    <t>Dombóvárhő</t>
  </si>
  <si>
    <t>fűtési díj ( Bezerédj 14.)</t>
  </si>
  <si>
    <t>Dr. Hegedűs és Társa Egészségügyi és Szolg. Bt.</t>
  </si>
  <si>
    <t>üzemorvos-Szakcs</t>
  </si>
  <si>
    <t>DRV</t>
  </si>
  <si>
    <t>vízdíj-hivatal, Szakcs</t>
  </si>
  <si>
    <t>E.ON Energiaszolgáltató Kft./ MVM</t>
  </si>
  <si>
    <t>rendszerhasználati díj-hivatali épületek+szakcs</t>
  </si>
  <si>
    <t>gáz-Szabadság u. 18. (városháza)</t>
  </si>
  <si>
    <t>EURO-PROFIL Kft.</t>
  </si>
  <si>
    <t>Konica Minolta Bizhub 227 fénymásológép üzemeltetése (P1683)</t>
  </si>
  <si>
    <t>Konica Minolta Bizhub 423 fénymásológép üzemeltetése (P1593)</t>
  </si>
  <si>
    <t>Konica Minolta Bizhub 227fénymásológép üzemeltetése (K1476)</t>
  </si>
  <si>
    <t>Konica Minolta Bizhub C224 fénymásológép üzemeltetése (P1586)</t>
  </si>
  <si>
    <t>Konica Minolta Bizhub C454e fénymásoló űzemeltetése (P2509)</t>
  </si>
  <si>
    <t>Konica Minolta Bizhub C454eH fénymásoló űzemeltetése (P2573)</t>
  </si>
  <si>
    <t>HP Designjet T120 A1 Plotter tintasug. nyomtató bérlete (P2218,K1511)</t>
  </si>
  <si>
    <t>Fleetcor Kft (volt SHELL HUNGARY ZRT)</t>
  </si>
  <si>
    <t>üzemanyag, kártyadíj</t>
  </si>
  <si>
    <t>GOND-X Biztonságtechnikai és Kereskedelmi Kft.</t>
  </si>
  <si>
    <t>Távfelügy, készenlét és karb.-Bezerédj u. 14.</t>
  </si>
  <si>
    <t>hivatali diszpécser szolgálat-Szent I. tér 1.</t>
  </si>
  <si>
    <t>bizt.techn távfelügy., műszaki készenlét és karb.-Szab. 18.</t>
  </si>
  <si>
    <t>GreenDoc System Kft.</t>
  </si>
  <si>
    <t>WinPA postázó szoftver követés, emelt szintű támogatás</t>
  </si>
  <si>
    <t>JakabNet Szoftverház Kft.</t>
  </si>
  <si>
    <t>Integrált Közszolg. Szoftvercsomag követése-pü,szoc...modul-Szakcs</t>
  </si>
  <si>
    <t>K&amp;H Biztosító Zrt.</t>
  </si>
  <si>
    <t>felelősségbiztosítás, casco-JLV-415,LLP-126, LHL-651 (Szakcs)</t>
  </si>
  <si>
    <t>Karádi-Kontroll Kft.</t>
  </si>
  <si>
    <t>munkavédelmi tanácsadás</t>
  </si>
  <si>
    <t>Karádiné Kurucz Klára e.v.</t>
  </si>
  <si>
    <t>munkavédelmi tanácsadás-Szakcs</t>
  </si>
  <si>
    <t>KIMÉRA Kft.</t>
  </si>
  <si>
    <t>Jogszabálykövetés /iktató rendszer/</t>
  </si>
  <si>
    <t>Komunáldata Számítástechnikai Fejlesztő és Szolgáltató Kft</t>
  </si>
  <si>
    <t>ado 24 nyomtatvány (elektronikusan kitölthető forma)</t>
  </si>
  <si>
    <t>Magyar Posta Zrt.</t>
  </si>
  <si>
    <t>Postafiók bérlet</t>
  </si>
  <si>
    <t>postai küldemények havi díja</t>
  </si>
  <si>
    <t>tűzjelző rendszer telefonvonala-Bezerédj u. 14.</t>
  </si>
  <si>
    <t>vezetékes telefonok - Szakcs</t>
  </si>
  <si>
    <t>mobiltelefon előfizetése-Szakcs (30/501-3166)</t>
  </si>
  <si>
    <t>Microsec Zrt.</t>
  </si>
  <si>
    <t>e-Szigno Csomag keretében együttesen nyújtott szolgáltatások</t>
  </si>
  <si>
    <t>Nemzeti Hulladékgazdálkodási és Vagyonkezelő Zrt.</t>
  </si>
  <si>
    <t>Szab. 18, Bez. 14. kukák ürítése</t>
  </si>
  <si>
    <t>Nemzeti Közszolgálati Egyetem</t>
  </si>
  <si>
    <t xml:space="preserve">Köztisztviselői képzés hozzájárulás </t>
  </si>
  <si>
    <t>megrendelő</t>
  </si>
  <si>
    <t>Opten Informatikai Kft.</t>
  </si>
  <si>
    <t>cégtár online (pü-i modul) éves előfizetés</t>
  </si>
  <si>
    <t>lemondásig érvényben</t>
  </si>
  <si>
    <t>Önkormányzati vállalkozás-figyelés -adósok</t>
  </si>
  <si>
    <t>Print Copy Kft.</t>
  </si>
  <si>
    <t>fénymásolók üzemeltetési költsége (Szakcs-MP3351)</t>
  </si>
  <si>
    <t>Saldo Rt.</t>
  </si>
  <si>
    <t>tagdíj (adó-és számviteli tanácsadás)</t>
  </si>
  <si>
    <t>TAGE Kft.</t>
  </si>
  <si>
    <t>Polg. Hiv. takarítása, felhasznált higéniai szerek</t>
  </si>
  <si>
    <t>Tank-szer</t>
  </si>
  <si>
    <t>üzemanyag</t>
  </si>
  <si>
    <t>TARR Kft.</t>
  </si>
  <si>
    <t>internet-előfizetési díj, internet optikai szálbérlet,kábelTV,Szakcs</t>
  </si>
  <si>
    <t>Telenor Magyarország Zrt. / Yettel Magyarország Zrt.</t>
  </si>
  <si>
    <t>mobil távközlési szolgáltatások és mobil telefonok vásárlása, és uszoda</t>
  </si>
  <si>
    <t>Tolna Megyei Kormányhivatal</t>
  </si>
  <si>
    <t>helyi személyiadat és lakcímnyilvánt. számgépes rendsz.karbt</t>
  </si>
  <si>
    <t>Tolna Megyei Ügyvédi Kamara</t>
  </si>
  <si>
    <t>kamarai jogtanácsosi díj</t>
  </si>
  <si>
    <t>UNIQA Biztosító Zrt.</t>
  </si>
  <si>
    <t>felelősségbiztosítás,és casco-LFA-110 (Renault Mégane)</t>
  </si>
  <si>
    <t>VARITEL Irodatechnika</t>
  </si>
  <si>
    <t>Develop Ineo +227e fénymásoló bérlete, lapköltsége</t>
  </si>
  <si>
    <t>fénymásoló bérlete (Develop Ineo 224e)</t>
  </si>
  <si>
    <t>Vincellérné dr. Illés Krisztina</t>
  </si>
  <si>
    <t>jogi közreműködés, képviselet, tanácsadás, és állásfoglalás elkészítése</t>
  </si>
  <si>
    <t>Werner Tamás e.v. (WS Works)</t>
  </si>
  <si>
    <t>garázsmester gépkocsi nyilvántartó program karbantartása</t>
  </si>
  <si>
    <t>szóbeli m.</t>
  </si>
  <si>
    <t>Wolters Kluwer Kft.</t>
  </si>
  <si>
    <t>előfizetések (jogtárak, döntvénytár)</t>
  </si>
  <si>
    <t>X-R Copy Kft.</t>
  </si>
  <si>
    <t>másolatok díja-Kon. Min. Bizhub 163. -Szakcs</t>
  </si>
  <si>
    <t>Konica Minolta Bizhub 554e Bérleti díj és másolatok díja, Konica Minolta Bizhub C224e bérleti díj és másolatok díja</t>
  </si>
  <si>
    <t>Dombóvár Város Önkormányzatának költségvetési mérlege</t>
  </si>
  <si>
    <t>Bevételek</t>
  </si>
  <si>
    <t>2024. év</t>
  </si>
  <si>
    <t>2025. év</t>
  </si>
  <si>
    <t>Helyi adók</t>
  </si>
  <si>
    <t>Egyéb központi adók</t>
  </si>
  <si>
    <t>Egyéb közhatalmi bevételek</t>
  </si>
  <si>
    <t>Kölcsön visszatérülés</t>
  </si>
  <si>
    <t>Működési célú bevételek összesen</t>
  </si>
  <si>
    <t>Fejlesztési célú állami támogatás</t>
  </si>
  <si>
    <t>Felhalmozási célú pénzeszköz átvétel</t>
  </si>
  <si>
    <t>Felhalmozási célú kölcsön visszatérülés</t>
  </si>
  <si>
    <t>Felhalmozási célú hitel igénybevétele</t>
  </si>
  <si>
    <t>Felhalmozási célú bevétel összesen:</t>
  </si>
  <si>
    <t>Bevétel összesen:</t>
  </si>
  <si>
    <t>Kiadások</t>
  </si>
  <si>
    <t>Működési célú pénzeszköz átadás, egyéb tám.</t>
  </si>
  <si>
    <t>Ellátottak pénzbeli juttatása</t>
  </si>
  <si>
    <t>Rövid lejáratú hitel visszafizetés</t>
  </si>
  <si>
    <t>Rövid lejáratú hitel kamat</t>
  </si>
  <si>
    <t>Céltartalék működési, általános tartalék</t>
  </si>
  <si>
    <t>Működési kiadás összesen</t>
  </si>
  <si>
    <t>Felújítási kiadások</t>
  </si>
  <si>
    <t>Felhalmozási célú pénzeszköz átadás</t>
  </si>
  <si>
    <t>Felhalmozási célú hitel visszafizetés</t>
  </si>
  <si>
    <t>Hosszú lejáratú hitel kamata</t>
  </si>
  <si>
    <t>Felhalmozási célú kölcsön nyújtás</t>
  </si>
  <si>
    <t>Céltartalék</t>
  </si>
  <si>
    <t>Felhalmozási kiadások összesen:</t>
  </si>
  <si>
    <t>Kiadások összesen:</t>
  </si>
  <si>
    <t>2026. év</t>
  </si>
  <si>
    <t>Az önkormányzat által nyújtott közvetett támogatások</t>
  </si>
  <si>
    <t>Támogatás kedvezményezettje</t>
  </si>
  <si>
    <t>jellege</t>
  </si>
  <si>
    <t>várható összege (eFt)</t>
  </si>
  <si>
    <t>65 év feletti adózók</t>
  </si>
  <si>
    <t>kommunális adó kedvezmény (50%)</t>
  </si>
  <si>
    <t>70 év feletti adózók</t>
  </si>
  <si>
    <t>kommunális adó mentesség</t>
  </si>
  <si>
    <t>Vállalkozó akinek adóalapja nem haladja meg a 2,5 millió forintot</t>
  </si>
  <si>
    <t>iparűzési adómentesség</t>
  </si>
  <si>
    <t>Magánszemélyek (akik legfeljebb 8 szobás és legfeljebb 16 ágyszámmal rendelkező szálláshelyen töltenek el vendégéjszakát)</t>
  </si>
  <si>
    <t>idegenforgalmi adó mentesség</t>
  </si>
  <si>
    <t>Gyermekétkeztetés</t>
  </si>
  <si>
    <t>térítési díj kedvezmény (10%)</t>
  </si>
  <si>
    <t>Sportszervezetek, nemzetiségi önkormányzatok, önkormányzat gazdasági társaságai</t>
  </si>
  <si>
    <t>térítésmentes bérlet</t>
  </si>
  <si>
    <t>I. Helyi adónál biztosított kedvezmény, mentesség</t>
  </si>
  <si>
    <t>Az építményadóról szóló 41/2015. (XII. 1.) önkormányzati rendelet</t>
  </si>
  <si>
    <t>A Gunaras-fürdő területén található, az ingatlan-nyilvántartásban üdülő, hétvégi ház megnevezéssel nyilvántartott építmény utáni építményadó-fizetési kötelezettségét illetően adókedvezmény iránti kérelemmel élhet az adóhatóság felé az a magánszemély, aki az építmény tulajdonosa vagy az építményt terhelő vagyoni értékű jog jogosítottja, amennyiben az építményben egyedül vagy hozzátartozójával együtt életvitelszerűen lakik.</t>
  </si>
  <si>
    <t xml:space="preserve">Mentes – a Htv. 13-13/A. §-ban foglaltakon túl – az építményadó megfizetése alól:
a) a lakás, amennyiben az adó alanya magánszemély, 
b) garázs, gépjárműtároló – kivéve az ingatlan-nyilvántartásban teremgarázsként feltüntetett épületrészt –, üvegház, pince, présház, hűtőház vagy ilyenként feltüntetésre váró épület, továbbá a melléképület és a melléképületrész. </t>
  </si>
  <si>
    <t>A magánszemélyek kommunális adójáról, az idegenforgalmi adóról és a helyi iparűzési adóról szóló 40/2015. (XII. 1.) önkormányzati rendelet</t>
  </si>
  <si>
    <t>Magánszemélyek kommunális adójánál</t>
  </si>
  <si>
    <t>A lakás után fizetendő magánszemélyek kommunális adója alól mentes az a magánszemély, aki a 70. életévét betöltötte. 50 %-os adókedvezmény illeti meg azt a magánszemélyt, aki a 65. életévét betöltötte.</t>
  </si>
  <si>
    <t>A használatbavételi engedély kiadását követő évtől számítva 2 évig mentes a magánszemélyek kommunális adófizetési kötelezettsége alól az a magánszemély, aki új építésű családi házat épít.</t>
  </si>
  <si>
    <t>20 %-os adókedvezmény illeti meg azt a magánszemélyt, akinek a rendelet 1. melléklete I., II., vagy III. övezetébe sorolt lakóingatlana előtti közút nem rendelkezik aszfaltburkolattal.</t>
  </si>
  <si>
    <t>Azok a magánszemélyek, akik az ingatlanuk előtt önerőből járdafelújítást végeznek, kérelemre 2 éves időtartamra 50 %-os kommunális adókedvezményt vehetnek igénybe.</t>
  </si>
  <si>
    <t xml:space="preserve">Adókedvezmény illeti meg azt a magánszemélyt, aki a rendelet 1. melléklete szerinti I. vagy II. övezetben lakást vásárolt és ott állandó lakóhelyet létesített. 
</t>
  </si>
  <si>
    <t>Idegenforgalmi adónál</t>
  </si>
  <si>
    <t>Iparűzési adónál</t>
  </si>
  <si>
    <t>A mentesség pontos összegét és az adóalanyok számát az iparűzési adóbevallások május 31-éig esedékes beküldése után pontosítja az önkormányzat.</t>
  </si>
  <si>
    <t>II. Térítési díjaknál biztosított kedvezmények</t>
  </si>
  <si>
    <t>A gyermekvédelem helyi szabályozásáról szóló 12/2006. (II.20.) rendelet alapján az önkormányzat 10% kedvezményt biztosít a gyermekétkeztetés személyi térítési díjából a Dombóvár város közigazgatási területén lakóhellyel, ennek hiányában tartózkodási hellyel rendelkező gyermek esetében, aki a Gyvt. 21/B §-a alapján normatív kedvezményre nem jogosult.</t>
  </si>
  <si>
    <t>III. Helyiségek, eszközök hasznosításából származó bevételből nyújtott kedvezmény, mentesség összege</t>
  </si>
  <si>
    <t>támogatásról szóló döntés száma</t>
  </si>
  <si>
    <t>ingatlan megnevezése</t>
  </si>
  <si>
    <t>támogatás kedvezményezettje</t>
  </si>
  <si>
    <t>371/2018. (XI. 29.) Kt. határozat</t>
  </si>
  <si>
    <t>helyi természetvédelemmel kapcsolatos feladatok ellátásához – a dombóvári 2923/A/2 hrsz. alatt nyilvántartott, Gyár u. 16. szám alatti, természetőr bázis céljára szolgáló ingatlan térítésmentes használata  2019. január 1-től 2023. december 31-ig, a használó a térítésmentes használat fejében köteles viselni az összes üzemeltetési költséget</t>
  </si>
  <si>
    <t>Kapos-hegyháti
Natúrpark Egyesület</t>
  </si>
  <si>
    <t>338/2019. (XI. 8.) Kt. határozat</t>
  </si>
  <si>
    <t>térítésmentes használati jog a szociális szolgáltatás biztosítása érdekében az ellátási szerződéssel megegyező időtartamra a Dombóvár Város Önkormányzata tulajdonát képező, a Dombóvár, Arany János tér 2. alatti, dombóvári 224/3. hrsz. alatt felvett, valamint a Dombóvár, Szabadság utca 6. alatti, dombóvári 46. hrsz. alatt felvett ingatlanokra</t>
  </si>
  <si>
    <t>Magyar Máltai Szeretetszolgálat Egyesület</t>
  </si>
  <si>
    <t>349/2019. (XI. 29.) Kt. határozat</t>
  </si>
  <si>
    <t>Dombóvár, Bezerédj u. 14. szám alatti, dombóvári 1306. hrsz.-ú ingatlanon épült társas irodaházban alábbi helyiségek használata:
a) A Nemzetiségi Közösségi Ház – 
a nagyterem a kiszolgálóhelyiségekkel együtt (1306/A/2. külön helyrajzi szám), iroda (bemutatóterem) 18,90 m2 (1306/A/3. külön helyrajzi szám egyik irodahelyisége) iroda 18,40 m2 (1306/A/3. külön helyrajzi szám egyik irodahelyisége),
b) a Német Közösségi Ház – pince (alagsor és mellékhelyiségei) (1306/A/1. külön helyrajzi szám)
2024. december 31-ig</t>
  </si>
  <si>
    <t>Dombóvári Német Nemzetiségi Önkormányzat, Dombóvári Horvát Nemzetiségi Önkormányzat</t>
  </si>
  <si>
    <t>350/2019. (XI. 29.) Kt. határozat</t>
  </si>
  <si>
    <t>nemzetiségi feladatok ellátásához a Dombóvár, Szabadság utca 4. alatti, dombóvári 47 hrsz.-ú ingatlannak a kialakult viszonyok szerint a Dombóvár Város Önkormányzata tulajdonába tartozó ingatlanrész térítésmentes használata</t>
  </si>
  <si>
    <t>Dombóvári Roma
Nemzetiségi Önkormányzat</t>
  </si>
  <si>
    <t>353/2019. (XI. 29.)Kt. határozat</t>
  </si>
  <si>
    <t>dombóvári 0328/1 hrsz.-ú, a gyepmesteri telepet is magában foglaló ingatlan (2024. december 31-ig)</t>
  </si>
  <si>
    <t>Dombóvári Kutyás Egyesület</t>
  </si>
  <si>
    <t>15/2020. (I. 31.) Kt. határozat</t>
  </si>
  <si>
    <t>Info Pont működtetéséhez a korábban a Tourinform Irodában használt tárgyi eszközök és sportszerek használatának terítésmentes átadásához határozatlan időre az önkormányzat turizmussal kapcsolatos közfeladatának ellátásához</t>
  </si>
  <si>
    <t>Gunaras Zrt.</t>
  </si>
  <si>
    <t>123/2020. (IX. 30.) Kt. határozat</t>
  </si>
  <si>
    <t>Dombóvári Közös Önkormányzati Hivatal tulajdonát képező, EIE-487 forgalmi rendszámú VW Transporter típusú gépjárművet a Magyar Máltai Szeretetszolgálat Egyesület használja üzembentartóként térítésmentesen határozatlan időre a vele kötött ellátási szerződés szerinti szociális szolgáltatás nyújtásához</t>
  </si>
  <si>
    <t>132/2020. (IX. 30.) Kt. határozat</t>
  </si>
  <si>
    <t>Árpád utcában lévő dombóvári 945/1 hrsz.-ú, lakóház, udvar, gazdasági épület, egyéb épület megnevezésű ingatlan keleti részén található – korábban villanyszerelői tanműhely céljára használt – helyiségek térítésmentes használata haszonkölcsön formájában</t>
  </si>
  <si>
    <t>Dombóvári Városgazdálkodási Nonprofit Kft.</t>
  </si>
  <si>
    <t>126/2020. (XII. 18.) határozat</t>
  </si>
  <si>
    <t>Dombóvári Karatesuli Közhasznú Egyesület,
Dombóvári Vasutas Atlétikai és Szabadidő Egyesület,
Dombóvári Floorball Közhasznú Sportegyesület,
SEIBUKAI KYOKUSHIN Dombóvár Sportegyesület,
Dombóvári Asztalitenisz Club Közhasznú Egyesület,
Dombóvári Hangulat Szabadidő Sportegyesület,
Dombóvári Futball Club,
Dombóvári Judo Klub,
Dombóvári Labdarúgó Klub,
JUMPERS Dombóvári Kötélugró Sportegyesület,
Dombóvári Kosárlabda Klub Sport Egyesület</t>
  </si>
  <si>
    <t>Dombóvári Focisuli Egyesület</t>
  </si>
  <si>
    <t>69/2021. (II. 26.) határozat</t>
  </si>
  <si>
    <t>Dombóvár, Szabadság utca 4. szám alatti ingatlanban térítésmentes
helyiséghasználat – a közüzemi költségek rájuk eső részének fedezése mellett – két tanterem, egy tanári szoba, kiskonyha, nemenként elkülönített mosdó és egy ügyfélfogadó iroda vonatkozásában</t>
  </si>
  <si>
    <t>Dombóvári Roma Közhasznú
Alapítvány és az Országos Roma Felemelkedésért Misszió</t>
  </si>
  <si>
    <t>129/2021. (IV. 30.) határozat</t>
  </si>
  <si>
    <t>Dombóvár, Földvár utcában található, dombóvári 1882/2 hrsz. alatt felvett „volt MÁV étkezde” ingatlan területén, a Szigeterdő mellett elhelyezkedő, 1.350 m2 nagyságú teniszpálya térítésmentes használata – az érintett terület fenntartásával és karbantartásával kapcsolatos költségek Egyesület részéről történő viselése mellett – 2031. április 30-ig</t>
  </si>
  <si>
    <t xml:space="preserve">Dombóvári Tenisz Egyesület </t>
  </si>
  <si>
    <t>130/2021. (IV. 30.) határozat
162/2021. (V. 28.) határozat</t>
  </si>
  <si>
    <t>Dombóvár, Pannónia út 21. szám alatti ingatlanon található - a Tolna Megyei SZC Esterházy Miklós Szakképző Iskola és Kollégiumhoz tartozó - Buzánszky Jenő Sportkomplexum műfüves pályája és kültéri öltöző épülete tekintetében 2021. május 1. napjától 2028. január 1. napjáig térítésmentes használata (a közüzemi és működtetési költségeket az Egyesület köteles viselni az ingatlan vagyonkezelőjével együttműködve)</t>
  </si>
  <si>
    <t>PASZ Dombóvári Amatőr Sportegyesület</t>
  </si>
  <si>
    <t>129/2020. (XII. 18.) határozat
133/2021. (IV. 30.) határozat
163/2021. (V. 28.) határozat</t>
  </si>
  <si>
    <t>Dombóvár, Kinizsi utca 37. szám alatti Lampert Gábor Edzőterem térítésmentes használata 2021. január 16-tól 2028. január 1-ig, a közüzemi és a további működtetési költségeket az egyesület köteles viselni</t>
  </si>
  <si>
    <t>Dombóvár 2004. Egyesület</t>
  </si>
  <si>
    <t>151/2021. (V. 14.) határozat
164/2021. (V. 28.) határozat</t>
  </si>
  <si>
    <t>az önkormányzat 2021. május 14. napjától 2028. január 1. napjáig térítésmentesen biztosítja a Kis-Konda-patak völgyében található, dombóvári 058 hrsz.-ú külterületi ingatlan használata azzal, hogy az ingatlannal kapcsolatban felmerülő valamennyi költséget – beleértve a „Városi Civil Alapok támogatása 2021” elnevezésű pályázat alapján állami támogatásból megvalósítani kívánt beruházás költségeit, valamint az építmények vonatkozásában a fenntartási és a közüzemi költségeket is –, illetve a működtetési kötelezettséget az Egyesület viseli, továbbá azon a közforgalmú gyalogos és kerékpáros közlekedést köteles az eddigiek szerint lehetővé tenni</t>
  </si>
  <si>
    <t>Dombóvári Városi Horgász Egyesület</t>
  </si>
  <si>
    <t>211/2021. (VI. 30.) Kt. határozat</t>
  </si>
  <si>
    <t>a Farkas Attila Uszodát magába foglaló 1358 hrsz.-ú ingatlanon található „lőtér, egyéb” megnevezésű épületnek lőtér funkciójú termét 2021. július 1. napjától – 5 éves határozott időtartamú térítésmentes használata</t>
  </si>
  <si>
    <t>Dombóvári Lövész Egyesület</t>
  </si>
  <si>
    <t>212/2021. (VI. 30.) Kt. határozat</t>
  </si>
  <si>
    <t>a Farkas Attila Uszodát magába foglaló 1358 hrsz.-ú ingatlanon található „lőtér, egyéb” megnevezésű épületnek az edzőterem funkciójú termét 2021. július 1. napjától – 5 éves határozott időtartamú térítésmentes használata</t>
  </si>
  <si>
    <t>Dombóvári Sportiskola Egyesület</t>
  </si>
  <si>
    <t>287/2021. (XI. 30.) Kt. határozat</t>
  </si>
  <si>
    <t>Szigeterdőben – dombóvári 1882/6 hrsz.-ú kivett közpark, lakótorony megnevezésű ingatlanon – található lakótorony térítésmentes használata haszonkölcsön-szerződéssel – 2022. január 1-től
2026. december 31-ig – működtetésre, téglagyűjteményének bemutatására. Az összes üzemeltetési költséget az önkormányzat köteles viselni.</t>
  </si>
  <si>
    <t>Őri Nándor dombóvári lakos</t>
  </si>
  <si>
    <t>1. hó</t>
  </si>
  <si>
    <t>2. hó</t>
  </si>
  <si>
    <t>3. hó</t>
  </si>
  <si>
    <t>4. hó</t>
  </si>
  <si>
    <t>5. hó</t>
  </si>
  <si>
    <t>6. hó</t>
  </si>
  <si>
    <t>7. hó</t>
  </si>
  <si>
    <t>8. hó</t>
  </si>
  <si>
    <t>9. hó</t>
  </si>
  <si>
    <t>10. hó</t>
  </si>
  <si>
    <t>11. hó</t>
  </si>
  <si>
    <t>12. hó</t>
  </si>
  <si>
    <t>Intézményi működési bevétel</t>
  </si>
  <si>
    <t xml:space="preserve">  ebből helyi adó</t>
  </si>
  <si>
    <t>Átvett pénzeszközök, támogatás államháztartáson belülről</t>
  </si>
  <si>
    <t xml:space="preserve">  ebből működésre</t>
  </si>
  <si>
    <t xml:space="preserve">  ebből fejlesztésre</t>
  </si>
  <si>
    <t>Bevételek együtt (1+…+6)</t>
  </si>
  <si>
    <t>Finanszírozási műveletek (hitel, maradvány igénybevétele)</t>
  </si>
  <si>
    <t>Összes bevétel (7+8)</t>
  </si>
  <si>
    <t>Személyi juttatás</t>
  </si>
  <si>
    <t>Munkaadókat terhelő járulék</t>
  </si>
  <si>
    <t>Dologi kiadás</t>
  </si>
  <si>
    <t>Egyéb működési célú kiadás</t>
  </si>
  <si>
    <t>Működési kiadások (10+…+14)</t>
  </si>
  <si>
    <t>Egyéb felhalmozási kiadás</t>
  </si>
  <si>
    <t>Felhalmozási kiadás (16+17+18)</t>
  </si>
  <si>
    <t>Céltartalék, általános tartalék</t>
  </si>
  <si>
    <t>Kiadások együtt (15+19+20)</t>
  </si>
  <si>
    <t>Finanszírozási műveletek (hiteltörl., Áht-n belüli megelőleg. visszafiz.)</t>
  </si>
  <si>
    <t>Összes kiadás (21+22)</t>
  </si>
  <si>
    <t>7-21 eltérése (+/-)</t>
  </si>
  <si>
    <t>9-23 eltérése (+/-)</t>
  </si>
  <si>
    <t>Záró pénzkészlet</t>
  </si>
  <si>
    <t>Műkö-  dési  bevétel</t>
  </si>
  <si>
    <t>Felhalmozási bevétel</t>
  </si>
  <si>
    <t>Átvett pénzeszköz, támogatás</t>
  </si>
  <si>
    <t>Maradvány igénybevétele</t>
  </si>
  <si>
    <t>Állami támogatás + NEAK</t>
  </si>
  <si>
    <t>Önk. tám.</t>
  </si>
  <si>
    <t>Int.fin.</t>
  </si>
  <si>
    <t>előirányzata</t>
  </si>
  <si>
    <t>Családalapítási támogatás</t>
  </si>
  <si>
    <t>Szociális, jóléti, kulturális  juttatások</t>
  </si>
  <si>
    <t>Egészségügyi juttatás (védőszemüveg)</t>
  </si>
  <si>
    <t>Dombóvár Város Önkormányzata 2023. évi előirányzat felhasználási terve</t>
  </si>
  <si>
    <t>Intézmények finanszírozása 2023. évben</t>
  </si>
  <si>
    <t>Dombóvári Szivárvány Óvoda és Bölcsőde</t>
  </si>
  <si>
    <t>Európai Uniós támogatással megvalósuló programok, projektek bevételei, kiadásai</t>
  </si>
  <si>
    <t>szám</t>
  </si>
  <si>
    <t>azonosító</t>
  </si>
  <si>
    <t>program, projekt neve</t>
  </si>
  <si>
    <t>2020.12.31-ig</t>
  </si>
  <si>
    <t>2021.</t>
  </si>
  <si>
    <t>2022.</t>
  </si>
  <si>
    <t xml:space="preserve">támogatás </t>
  </si>
  <si>
    <t>önkormányzati saját forrás</t>
  </si>
  <si>
    <t>TOP-5.2.1-15-TL1-2016-00001</t>
  </si>
  <si>
    <t>A dombóvári Mászlony szegregátumban élők társadalmi integrációjának helyi szintű komplex programja</t>
  </si>
  <si>
    <t>önkormányzati sajáterő</t>
  </si>
  <si>
    <t>TOP-5.2.1-15-TL1-2016-00002</t>
  </si>
  <si>
    <t>A dombóvári Szigetsor-Vasút szegregátumban élők társadalmi integrációjának helyi szintű komplex programja</t>
  </si>
  <si>
    <t>TOP-5.2.1-15-TL1-2016-00003</t>
  </si>
  <si>
    <t>A dombóvári Kakasdomb-Erzsébet utca szegregációval veszélyeztetett területén élők társadalmi integrációjának helyi szintű komplex programja</t>
  </si>
  <si>
    <t>TOP-1.1.1-16-TL1-2017-00002</t>
  </si>
  <si>
    <t>Tüskei iparterület fejlesztése és új iparterület kialakítása 2017</t>
  </si>
  <si>
    <t>TOP-4.3.1-15-TL1-2016-00002</t>
  </si>
  <si>
    <t>Mászlony - oázis az agrársivatagban</t>
  </si>
  <si>
    <t>támogatás</t>
  </si>
  <si>
    <t>TOP-4.3.1-15-TL1-2016-00003</t>
  </si>
  <si>
    <t>A dombóvári Szigetsor-Vasút szegregátumok rehabilitációja</t>
  </si>
  <si>
    <t>TOP-4.3.1-15-TL1-2016-00004</t>
  </si>
  <si>
    <t xml:space="preserve"> TOP-7.1.1-16-H-ERFA-2018-00032</t>
  </si>
  <si>
    <t xml:space="preserve"> Szigeterdei Közösségi Tér kialakítása</t>
  </si>
  <si>
    <t>TOP-4.1.1-15-TL1-2020-00028</t>
  </si>
  <si>
    <t>Dombóvár, Szabadság u. 2. szám alatti orvosi rendelő felújítása</t>
  </si>
  <si>
    <t>önk sajáterő</t>
  </si>
  <si>
    <t>TOP-2.1.3-00023</t>
  </si>
  <si>
    <t>DOMBÓVÁR, Ady Endre utca csapadékvíz elvezető rendszer rekonstrukciója</t>
  </si>
  <si>
    <t>TOP-2.1.3-00024</t>
  </si>
  <si>
    <t>DOMBÓVÁR, Fő utca csapadékvíz elvezető rendszer rekonstrukciója I. ütem - nyugati utcarész</t>
  </si>
  <si>
    <t>TOP-2.1.3-00025</t>
  </si>
  <si>
    <t>DOMBÓVÁR, Fő utca csapadékvíz elvezető rendszer rekonstrukciója II. ütem - keleti utcarész</t>
  </si>
  <si>
    <t>TOP_PLUSZ-1.3.1-21-TL1-2022-00005</t>
  </si>
  <si>
    <t>Bevételek összesen:</t>
  </si>
  <si>
    <t>kiadás</t>
  </si>
  <si>
    <t>dologi kiadások (szolgáltatások)</t>
  </si>
  <si>
    <t>beruházás (ingatlan vásárlás költségei, építéshez kapcsolódó költségek, eszközbeszerzés)</t>
  </si>
  <si>
    <t>személyi</t>
  </si>
  <si>
    <t>járulék</t>
  </si>
  <si>
    <t>eszközbeszerzés</t>
  </si>
  <si>
    <t>tartalék</t>
  </si>
  <si>
    <t>túligénylés, ill. előleg visszautalása</t>
  </si>
  <si>
    <t xml:space="preserve">kiadás </t>
  </si>
  <si>
    <t xml:space="preserve">támogatás visszafizetés </t>
  </si>
  <si>
    <t>29. TOP-7.1.1-16-H-ERFA-2018-00032  Szigeterdei Közösségi Tér kialakítása</t>
  </si>
  <si>
    <t>30. TOP-1.1.1-16-TL1-2017-00002  Tüskei iparterület fejlesztése és új iparterület kialakítása</t>
  </si>
  <si>
    <t>31. TOP-2.1.3-16-TL1-2021-00023 Dombóvár, Ady Endre utca csapadékvízelvezető rendszer rekonstrukciója</t>
  </si>
  <si>
    <t>32. TOP-2.1.3-16-TL1-2021-00024 Dombóvár, Fő utca csapadékvíz-elvezető rendszer rekonstrukciója I. ütem – nyugati utcarész</t>
  </si>
  <si>
    <t>33. TOP-2.1.3-16-TL1-2021-00025 Dombóvár, Fő utca csapadékvíz-elvezető rendszer rekonstrukciója II. ütem – keleti utcarész</t>
  </si>
  <si>
    <t>34. TOP_PLUSZ-1.3.1-21-TL1-2022-00005 FVS</t>
  </si>
  <si>
    <t>35. Farkas Attila Uszoda üzemeltetése</t>
  </si>
  <si>
    <t>37. Szúnyoggyérítés Dombóvár város közigazgatási területén</t>
  </si>
  <si>
    <t>38. Tagdíj Kapos-menti Terület- és Vidékfejlesztési Társulásnak</t>
  </si>
  <si>
    <t>39. Gyermekétkeztetés kiadásai</t>
  </si>
  <si>
    <t>40. Szünidei étkeztetés kiadásai</t>
  </si>
  <si>
    <t>41. Dombóvári Városgazdálkodási Nkft.-nek közszolgáltatási szerződés alapján fizetendő</t>
  </si>
  <si>
    <t>1. TOP-4.3.1-15-TL1-2016-00003 A dombóvári Szigetsor-Vasút szegregátumok rehabilitációja</t>
  </si>
  <si>
    <t>2.4. Önkormányzat</t>
  </si>
  <si>
    <t>1.8. TOP-5.2.1-15-TL1-2016-00002 Szigetsor</t>
  </si>
  <si>
    <t>1.9. TOP-5.2.1-15-TL1-2016-00003 Kakasdomb-Erzsébet utca</t>
  </si>
  <si>
    <t>1.10. TOP_PLUSZ-1.3.1-21-TL1-2022-00005 FVS</t>
  </si>
  <si>
    <t>2.5. TOP-4.3.1-15-TL1-2016-00002 Mászlony - oázis az agrársivatagban</t>
  </si>
  <si>
    <t>2.6. TOP-4.3.1-15-TL1-2016-00003 A dombóvári Szigetsor-Vasút szegregátumok rehabilitációja</t>
  </si>
  <si>
    <t>1.4. Önkormányzat</t>
  </si>
  <si>
    <t>2023. évi bevételek</t>
  </si>
  <si>
    <t>4. Gépjármű vásárlás</t>
  </si>
  <si>
    <t>43. Iskola egészségügyi feladat</t>
  </si>
  <si>
    <t>44. Tanulmánytervek készítése</t>
  </si>
  <si>
    <t>45. Védőnőkkel kapcsolatos dologi kiadások</t>
  </si>
  <si>
    <t>46. „Rádió PLUSZ Dombóvár” rádiószolgáltatás költségei</t>
  </si>
  <si>
    <t>47. Térségi Szabadidő- és Sportcentrum kialakítása</t>
  </si>
  <si>
    <t>48. Orvosi rendelő felújítása miatt jelentkező bérleti díjak</t>
  </si>
  <si>
    <t>49. Mászlony pusztán élő óvodások szállítása</t>
  </si>
  <si>
    <t>50. Újdombóvári posta működtetésére</t>
  </si>
  <si>
    <t>4. TOP-4.3.1-15-TL1-2016-00003 A dombóvári Szigetsor-Vasút szegregátumok rehabilitációja</t>
  </si>
  <si>
    <t>5. TOP-4.3.1-15-TL1-2016-00004 DARK projekt</t>
  </si>
  <si>
    <t>6. TOP-7.1.1-16-H-ERFA-2018-00032  Szigeterdei Közösségi Tér kialakítása</t>
  </si>
  <si>
    <t>7. TOP-1.1.1-16-TL1-2017-00002  Tüskei iparterület fejlesztése és új iparterület kialakítása</t>
  </si>
  <si>
    <t>8. Parkoló kialakítása Járási Hivatal mögött, a rendőrség mellett</t>
  </si>
  <si>
    <t>9. Térségi Szabadidő- és Sportcentrum kialakítása</t>
  </si>
  <si>
    <t>10. Szociális épület kialakítása (JAM csarnoknál)</t>
  </si>
  <si>
    <t>11. Játszótér bővítése (Tulipán utca)</t>
  </si>
  <si>
    <t>12. Péczely utca közmű tervezési feladatok</t>
  </si>
  <si>
    <t>13. Kijelölt gyalogos átkelőhely létesítése</t>
  </si>
  <si>
    <t>14. Vis maior pályázat önerő (Garay utca)</t>
  </si>
  <si>
    <t>2. Víziközmű fejlesztés</t>
  </si>
  <si>
    <t>3. Belterületi utak felújítása</t>
  </si>
  <si>
    <t>4. TOP-2.1.3-16-TL1-2021-00023 Dombóvár, Ady Endre utca csapadékvízelvezető rendszer rekonstrukciója</t>
  </si>
  <si>
    <t>5. TOP-2.1.3-16-TL1-2021-00024 Dombóvár, Fő utca csapadékvíz-elvezető rendszer rekonstrukciója I. ütem – nyugati utcarész</t>
  </si>
  <si>
    <t>6. TOP-2.1.3-16-TL1-2021-00025 Dombóvár, Fő utca csapadékvíz-elvezető rendszer rekonstrukciója II. ütem – keleti utcarész</t>
  </si>
  <si>
    <t>2.2. TAO-s támogatáshoz önrész biztosítása</t>
  </si>
  <si>
    <t>2023. évi szociális, jóléti és egészségügyi juttatás</t>
  </si>
  <si>
    <t>128/2020. (XII. 18.) határozat
324/2021. (XII. 17.) Kt. határozat
237/2022. (XII. 16.) Kt. határozat</t>
  </si>
  <si>
    <t>Katona József u. 37. szám alatti Ujvári Kálmán Sporttelep térítésmentes használata 2023. december 31. napjáig, közüzemi és a további működtetési költségeket az egyesület köteles viselni</t>
  </si>
  <si>
    <t>Tulajdonjog, illetve haszonélvezeti jog alapján a kedvezmény 1.997 adózót, a mentesség 1.271 adózót érintett az előző évben.</t>
  </si>
  <si>
    <t>2023. évi kiemelt kiadási előirányzata</t>
  </si>
  <si>
    <t>Dombóvár Város Önkormányzata intézményeinek</t>
  </si>
  <si>
    <t>Intézmény megnevezése</t>
  </si>
  <si>
    <t>Engedélyezett létszám (fő)</t>
  </si>
  <si>
    <t>Szakmai létszám</t>
  </si>
  <si>
    <t>Nevelő munát közvetlenül segítők</t>
  </si>
  <si>
    <t>Technikai létszám</t>
  </si>
  <si>
    <t>Megváltozott
munkaképességű
dolgozók</t>
  </si>
  <si>
    <t>Szivárvány Óvoda</t>
  </si>
  <si>
    <t>Zöld Liget Óvoda</t>
  </si>
  <si>
    <t>Százszorszép Óvoda</t>
  </si>
  <si>
    <t>Tündérkert Bölcsőde</t>
  </si>
  <si>
    <t>Dombóvári Műv.Ház, Könyvtár és Helytörténeti Gyűjt.</t>
  </si>
  <si>
    <t>Dombóvár</t>
  </si>
  <si>
    <t>Szakcs</t>
  </si>
  <si>
    <t>Attala</t>
  </si>
  <si>
    <t>Csikóstőttős</t>
  </si>
  <si>
    <t>létszámkerete 2023. évben</t>
  </si>
  <si>
    <t>Csikóstőttősi Tagóvoda</t>
  </si>
  <si>
    <t>Nem kell az idegenforgalmi adót megfizetni a magánszemélynek a kereskedelemről szóló 2005. évi CLXIV. törvény 2. §. 39. pontjában meghatározott magánszálláshelyen eltöltött vendégéjszakák után.</t>
  </si>
  <si>
    <t>36. Járdaprogram</t>
  </si>
  <si>
    <t>42. Játszóterek felülvizsgálata, a szükséges és lehetséges javítási, karbantartási munkák elvégzése</t>
  </si>
  <si>
    <t>5.1. 2022. évi állami támogatások elszámolása</t>
  </si>
  <si>
    <t>Dombóvár, Földvár utca 18. szám alatti Szuhay Sportcentrum térítésmentes használata 2023. december 31-ig sportszervezetek részére a sporttevékenységük végzésére</t>
  </si>
  <si>
    <t>1. melléklet a 3/2023. (II. 9.) önkormányzati rendelethez</t>
  </si>
  <si>
    <t>2. melléklet a 3/2023. (II. 9.) önkormányzati rendelethez</t>
  </si>
  <si>
    <t>1. Az önkormányzat</t>
  </si>
  <si>
    <t>2023. évi kiadásai</t>
  </si>
  <si>
    <t>2. A Dombóvári Közös Önkormányzati Hivatal</t>
  </si>
  <si>
    <t>3. melléklet a 3/2023. (II. 9.) önkormányzati rendelethez</t>
  </si>
  <si>
    <t>2021-2023. év</t>
  </si>
  <si>
    <t>1. Hitelek</t>
  </si>
  <si>
    <t>5. melléklet a 3/2023. (II. 9.) önkormányzati rendelethez</t>
  </si>
  <si>
    <t>2. Garancia és kezességvállalás (függő)</t>
  </si>
  <si>
    <t>3. Több évre kihatással járó kötelezettségvállalások 2022-2023. évi kifizetései (Dombóvár Város Önkormányzata)</t>
  </si>
  <si>
    <t>4. Több évre kihatással járó kötelezettségvállalások 2022-2023. évi kifizetései (Dombóvári Közös Önkormányzati Hivatal)</t>
  </si>
  <si>
    <t>6. melléklet a 3/2023. (II. 9.) önkormányzati rendelethez</t>
  </si>
  <si>
    <t>7. melléklet a 3/2023. (II. 9.) önkormányzati rendelethez</t>
  </si>
  <si>
    <t>8. melléklet a 3/2023. (II. 9.) önkormányzati rendelethez</t>
  </si>
  <si>
    <t>10. melléklet a 3/2023. (II. 9.) önkormányzati rendelethez</t>
  </si>
  <si>
    <t>9. melléklet a 3/2023. (II. 9.) önkormányzati rendelethez</t>
  </si>
  <si>
    <t>11. melléklet a 3/2023. (II. 9.) önkormányzati rendelethez</t>
  </si>
  <si>
    <t>Adómentesség illeti meg a vállalkozót, ha a Htv. 39. § (1) bekezdése, valamint a 39/A. §-a vagy 39/B §-a alapján számított (vállalkozási szintű) adóalapja nem haladja meg a 2,5 millió Ft-ot.</t>
  </si>
  <si>
    <t>Módosítás</t>
  </si>
  <si>
    <t>11. Általános forgalmi adó visszatérítése</t>
  </si>
  <si>
    <t>1.3.1. Szociális ágazati összevont pótlék kifizetéséhez támogatás</t>
  </si>
  <si>
    <t>1.3.2. Egészségügyi kiegészítő pótlék kifizetéséhez támogatás</t>
  </si>
  <si>
    <t>2. Működési célú költségvetési támogatások és kiegészítő támogatások (B115)</t>
  </si>
  <si>
    <t>2.1. Az Ukrajnában kialakult fegyveres konfliktussal összefüggésben felmerült önkormányzati kiadások ellentételezése</t>
  </si>
  <si>
    <t>2.7. TOP-2.1.3-16-TL1-2021-00023 Dombóvár, Ady Endre utca csapadékvízelvezető rendszer rekonstrukciója</t>
  </si>
  <si>
    <t>2.8. TOP-2.1.3-16-TL1-2021-00024 Dombóvár, Fő utca csapadékvíz-elvezető rendszer rekonstrukciója I. ütem – nyugati utcarész</t>
  </si>
  <si>
    <t>2.9. TOP-2.1.3-16-TL1-2021-00025 Dombóvár, Fő utca csapadékvíz-elvezető rendszer rekonstrukciója II. ütem – keleti utcarész</t>
  </si>
  <si>
    <t>2.10. TOP-4.1.1-15-TL1-2020-00028 - Szabadság utcai orvosi rendelő felújítása II. ütem</t>
  </si>
  <si>
    <t>1.3. 2022. évi Autómentes Nap támogatása</t>
  </si>
  <si>
    <t>1.1. Bérfejlesztés támogatás visszafizetése</t>
  </si>
  <si>
    <t>Egyéb működési célú kiadások összesen:</t>
  </si>
  <si>
    <t>1.1. Népszámlálás 2022. fel nem használt előleg visszafizetése</t>
  </si>
  <si>
    <t>51. Ukrajnából érkezett menekültekkel kapcsolatos kiadások</t>
  </si>
  <si>
    <t>52. Térfigyelő kamerarendszer központi egységének áthelyezése</t>
  </si>
  <si>
    <t>53. TOP-4.1.1-15-TL1-2020-00028 - Szabadság utcai orvosi rendelő felújítása II. ütem</t>
  </si>
  <si>
    <t>1.6. Társulás nettósítási különbözet</t>
  </si>
  <si>
    <t>2.11. Törökországot és Szíriát 2023. februárjában sújtó földrengések áldozatainak támogatása</t>
  </si>
  <si>
    <t>15. Ivanich Antal utcai tekepálya egyesületi tulajdonrészének megvásárlása</t>
  </si>
  <si>
    <t>16. Hetényi utcai temető kerti szegély és zúzottköves út kialakítása</t>
  </si>
  <si>
    <t>17. Kinizsi u. 37. parkoló kialakítása</t>
  </si>
  <si>
    <t>18. Mobilgarázsok beszerzése</t>
  </si>
  <si>
    <t>7. TOP-4.1.1-15-TL1-2020-00028 - Szabadság utcai orvosi rendelő felújítása II. ütem</t>
  </si>
  <si>
    <t>8. Dombóvári Szivárvány Óvoda Zöld Liget Tagóvodája előtt bekötőút- és parkoló felújítása</t>
  </si>
  <si>
    <t>mód. ei.</t>
  </si>
  <si>
    <t>2022. tény</t>
  </si>
  <si>
    <t>2023. mód. ei.</t>
  </si>
  <si>
    <t>DARK - Dombóvári Akcióterületi Rehabilitáció Kakasdomb-Erzsébet utca szegregációval veszélyeztetett területen</t>
  </si>
  <si>
    <t>DOMBÓVÁR Fenntartható Városfejlesztési Stratégiájának és egyéb dokumentumainak elkészítése</t>
  </si>
  <si>
    <t>(Módosította a 18/2023. (VI. 30.) R., hatályba lép: 2023. július 1.)</t>
  </si>
  <si>
    <t>Módosított előirányzat (1)</t>
  </si>
  <si>
    <t>Módosított előirányzat (2)</t>
  </si>
  <si>
    <t>12. Erzsébet tábor</t>
  </si>
  <si>
    <t>1.5.1. Könyvtári célú érdekeltségnövelő támogatás</t>
  </si>
  <si>
    <t>2.2. Önkormányzatok rendkívüli támogatása</t>
  </si>
  <si>
    <t>3. Felhalmozási célú önkormányzati támogatások (B21)</t>
  </si>
  <si>
    <t>3.1. Vis maior támogatás</t>
  </si>
  <si>
    <t>4. Elszámolásból származó bevételek (B116)</t>
  </si>
  <si>
    <t>4.1. 2022. évi elszámolás alapján keletkezett pótigény</t>
  </si>
  <si>
    <t>1.13. Csikóstőttősi Tagóvoda 2023.évi mûködtetéséhez hozzájárulás</t>
  </si>
  <si>
    <t>1.4. Tehetségbarát Önkormányzat 2023</t>
  </si>
  <si>
    <t>(Módosította a 18/2023. (VI. 30.) R., hatályba lép: 2023. július 1.; a 24/2023. (IX. 28.) R., hatályba lép: 2023. szeptember 29.)</t>
  </si>
  <si>
    <t>3. Szivárvány Óvoda konyha, folyosó felújítása</t>
  </si>
  <si>
    <t>54. Erzsébet tábor</t>
  </si>
  <si>
    <t>19. Százszorszép Óvodába - Törpe tornyok átjáróval</t>
  </si>
  <si>
    <t>20. Szivárvány óvoda előtt ároklefedés kialakítása, csatlakozó kapubejáró felújítása, valamint az intézmény főbejáratához csatlakozó járdafelület térköves kialakítása</t>
  </si>
  <si>
    <t>21. Bérlakásokkal kapcsolatos beruházások</t>
  </si>
  <si>
    <t>22. Kisértékű tárgyi eszköz beszerzés</t>
  </si>
  <si>
    <t>23. Kórház u. térkő burkolású járda épitése a vasútállomás előtti parkolótól a Konda patak hídig</t>
  </si>
  <si>
    <t>24. Zöld Liget Tagóvoda tornaszoba önerő</t>
  </si>
  <si>
    <t>25. Horvay utcai temetőben kerti szegély építése</t>
  </si>
  <si>
    <t>9. Bérlakásokkal kapcsolatos felújítások</t>
  </si>
  <si>
    <t>10. Szőlőhegy 2022. évi záporkárok helyreállítása</t>
  </si>
  <si>
    <t>11. TOP-4.3.1-15-TL1-2016-00004 DARK projekt</t>
  </si>
  <si>
    <t>12. Parkoló kialakítása Járási Hivatal mögött, a rendőrség mellett</t>
  </si>
  <si>
    <t>1.1. Dombóvári Német Nemzetiségi Önkormányzat támogatása a Német Közösségi Házat érintő energetikai beruházás megvalósítása érdekében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</si>
</sst>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Ft&quot;_-;\-* #,##0.00\ &quot;Ft&quot;_-;_-* &quot;-&quot;??\ &quot;Ft&quot;_-;_-@_-"/>
    <numFmt numFmtId="43" formatCode="_-* #,##0.00_-;\-* #,##0.00_-;_-* &quot;-&quot;??_-;_-@_-"/>
    <numFmt numFmtId="164" formatCode="#,##0.0000"/>
    <numFmt numFmtId="165" formatCode="_-* #,##0\ _F_t_-;\-* #,##0\ _F_t_-;_-* &quot;-&quot;\ _F_t_-;_-@_-"/>
    <numFmt numFmtId="166" formatCode="#,##0_ ;\-#,##0\ "/>
    <numFmt numFmtId="167" formatCode="0.0%"/>
    <numFmt numFmtId="168" formatCode="0.0"/>
    <numFmt numFmtId="169" formatCode="_-* #,##0_-;\-* #,##0_-;_-* &quot;-&quot;??_-;_-@_-"/>
    <numFmt numFmtId="170" formatCode="#,##0.00000"/>
  </numFmts>
  <fonts count="7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0"/>
      <name val="Arial CE"/>
      <charset val="238"/>
    </font>
    <font>
      <sz val="11"/>
      <color indexed="8"/>
      <name val="Calibri"/>
      <family val="2"/>
      <charset val="238"/>
    </font>
    <font>
      <sz val="11"/>
      <color indexed="9"/>
      <name val="Calibri"/>
      <family val="2"/>
      <charset val="238"/>
    </font>
    <font>
      <sz val="11"/>
      <color indexed="62"/>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10"/>
      <name val="Calibri"/>
      <family val="2"/>
      <charset val="238"/>
    </font>
    <font>
      <sz val="11"/>
      <color indexed="52"/>
      <name val="Calibri"/>
      <family val="2"/>
      <charset val="238"/>
    </font>
    <font>
      <sz val="11"/>
      <color indexed="17"/>
      <name val="Calibri"/>
      <family val="2"/>
      <charset val="238"/>
    </font>
    <font>
      <b/>
      <sz val="11"/>
      <color indexed="63"/>
      <name val="Calibri"/>
      <family val="2"/>
      <charset val="238"/>
    </font>
    <font>
      <i/>
      <sz val="11"/>
      <color indexed="23"/>
      <name val="Calibri"/>
      <family val="2"/>
      <charset val="238"/>
    </font>
    <font>
      <b/>
      <sz val="11"/>
      <color indexed="8"/>
      <name val="Calibri"/>
      <family val="2"/>
      <charset val="238"/>
    </font>
    <font>
      <sz val="11"/>
      <color indexed="20"/>
      <name val="Calibri"/>
      <family val="2"/>
      <charset val="238"/>
    </font>
    <font>
      <sz val="11"/>
      <color indexed="60"/>
      <name val="Calibri"/>
      <family val="2"/>
      <charset val="238"/>
    </font>
    <font>
      <b/>
      <sz val="11"/>
      <color indexed="52"/>
      <name val="Calibri"/>
      <family val="2"/>
      <charset val="238"/>
    </font>
    <font>
      <sz val="13"/>
      <name val="Times New Roman"/>
      <family val="1"/>
      <charset val="238"/>
    </font>
    <font>
      <i/>
      <sz val="13"/>
      <name val="Times New Roman"/>
      <family val="1"/>
      <charset val="238"/>
    </font>
    <font>
      <b/>
      <i/>
      <sz val="13"/>
      <name val="Times New Roman"/>
      <family val="1"/>
      <charset val="238"/>
    </font>
    <font>
      <b/>
      <sz val="15"/>
      <name val="Times New Roman"/>
      <family val="1"/>
      <charset val="238"/>
    </font>
    <font>
      <sz val="10"/>
      <name val="Times New Roman"/>
      <family val="1"/>
      <charset val="238"/>
    </font>
    <font>
      <i/>
      <sz val="10"/>
      <name val="Times New Roman"/>
      <family val="1"/>
      <charset val="238"/>
    </font>
    <font>
      <b/>
      <i/>
      <sz val="10"/>
      <name val="Times New Roman"/>
      <family val="1"/>
      <charset val="238"/>
    </font>
    <font>
      <b/>
      <sz val="10"/>
      <name val="Times New Roman"/>
      <family val="1"/>
      <charset val="238"/>
    </font>
    <font>
      <sz val="10"/>
      <name val="Arial CE"/>
      <family val="2"/>
      <charset val="238"/>
    </font>
    <font>
      <i/>
      <sz val="10"/>
      <name val="Arial"/>
      <family val="2"/>
      <charset val="238"/>
    </font>
    <font>
      <sz val="11"/>
      <name val="Times New Roman"/>
      <family val="1"/>
      <charset val="238"/>
    </font>
    <font>
      <i/>
      <sz val="11"/>
      <name val="Times New Roman"/>
      <family val="1"/>
      <charset val="238"/>
    </font>
    <font>
      <b/>
      <sz val="11"/>
      <name val="Times New Roman"/>
      <family val="1"/>
      <charset val="238"/>
    </font>
    <font>
      <b/>
      <i/>
      <sz val="11"/>
      <name val="Times New Roman"/>
      <family val="1"/>
      <charset val="238"/>
    </font>
    <font>
      <b/>
      <sz val="11"/>
      <name val="Arial CE"/>
      <charset val="238"/>
    </font>
    <font>
      <sz val="10"/>
      <name val="Arial"/>
      <family val="2"/>
      <charset val="238"/>
    </font>
    <font>
      <sz val="9"/>
      <name val="Arial"/>
      <family val="2"/>
      <charset val="238"/>
    </font>
    <font>
      <sz val="9"/>
      <name val="Times New Roman"/>
      <family val="1"/>
      <charset val="238"/>
    </font>
    <font>
      <b/>
      <sz val="9"/>
      <name val="Times New Roman"/>
      <family val="1"/>
      <charset val="238"/>
    </font>
    <font>
      <b/>
      <i/>
      <sz val="9"/>
      <name val="Times New Roman"/>
      <family val="1"/>
      <charset val="238"/>
    </font>
    <font>
      <sz val="10"/>
      <color rgb="FFFF0000"/>
      <name val="Arial"/>
      <family val="2"/>
      <charset val="238"/>
    </font>
    <font>
      <b/>
      <sz val="9"/>
      <color indexed="81"/>
      <name val="Tahoma"/>
      <family val="2"/>
      <charset val="238"/>
    </font>
    <font>
      <sz val="10"/>
      <name val="Times New Roman CE"/>
      <family val="1"/>
      <charset val="238"/>
    </font>
    <font>
      <b/>
      <sz val="10"/>
      <name val="Times New Roman CE"/>
      <family val="1"/>
      <charset val="238"/>
    </font>
    <font>
      <b/>
      <sz val="10"/>
      <name val="Times New Roman CE"/>
      <charset val="238"/>
    </font>
    <font>
      <sz val="10"/>
      <name val="Times New Roman CE"/>
      <charset val="238"/>
    </font>
    <font>
      <sz val="9"/>
      <color indexed="81"/>
      <name val="Tahoma"/>
      <family val="2"/>
      <charset val="238"/>
    </font>
    <font>
      <sz val="10"/>
      <color theme="0"/>
      <name val="Times New Roman"/>
      <family val="1"/>
      <charset val="238"/>
    </font>
    <font>
      <sz val="10"/>
      <color theme="0"/>
      <name val="Arial"/>
      <family val="2"/>
      <charset val="238"/>
    </font>
    <font>
      <sz val="10"/>
      <color rgb="FFFF0000"/>
      <name val="Times New Roman"/>
      <family val="1"/>
      <charset val="238"/>
    </font>
    <font>
      <sz val="10"/>
      <color theme="1"/>
      <name val="Times New Roman"/>
      <family val="1"/>
      <charset val="238"/>
    </font>
    <font>
      <b/>
      <i/>
      <sz val="10"/>
      <color rgb="FFFF0000"/>
      <name val="Times New Roman"/>
      <family val="1"/>
      <charset val="238"/>
    </font>
    <font>
      <sz val="10"/>
      <color rgb="FF333333"/>
      <name val="Times New Roman"/>
      <family val="1"/>
      <charset val="238"/>
    </font>
    <font>
      <u/>
      <sz val="10"/>
      <color theme="10"/>
      <name val="Arial"/>
      <family val="2"/>
      <charset val="238"/>
    </font>
    <font>
      <b/>
      <sz val="10"/>
      <name val="Arial"/>
      <family val="2"/>
      <charset val="238"/>
    </font>
    <font>
      <b/>
      <sz val="10"/>
      <color theme="1"/>
      <name val="Arial"/>
      <family val="2"/>
      <charset val="238"/>
    </font>
    <font>
      <sz val="11"/>
      <name val="Times New Roman CE"/>
      <family val="1"/>
      <charset val="238"/>
    </font>
    <font>
      <b/>
      <sz val="11"/>
      <name val="Times New Roman CE"/>
      <family val="1"/>
      <charset val="238"/>
    </font>
    <font>
      <sz val="11"/>
      <name val="Times New Roman CE"/>
      <charset val="238"/>
    </font>
    <font>
      <i/>
      <sz val="11"/>
      <name val="Times New Roman CE"/>
      <family val="1"/>
      <charset val="238"/>
    </font>
    <font>
      <b/>
      <sz val="12"/>
      <name val="Times New Roman"/>
      <family val="1"/>
      <charset val="238"/>
    </font>
    <font>
      <sz val="12"/>
      <name val="Times New Roman"/>
      <family val="1"/>
      <charset val="238"/>
    </font>
    <font>
      <b/>
      <i/>
      <sz val="10"/>
      <name val="Arial"/>
      <family val="2"/>
      <charset val="238"/>
    </font>
    <font>
      <b/>
      <sz val="14"/>
      <name val="Times New Roman CE"/>
      <family val="1"/>
      <charset val="238"/>
    </font>
    <font>
      <sz val="14"/>
      <name val="Times New Roman CE"/>
      <family val="1"/>
      <charset val="238"/>
    </font>
    <font>
      <i/>
      <sz val="9"/>
      <name val="Times New Roman CE"/>
      <charset val="238"/>
    </font>
    <font>
      <sz val="9"/>
      <name val="Times New Roman CE"/>
      <charset val="238"/>
    </font>
    <font>
      <i/>
      <sz val="9"/>
      <name val="Times New Roman"/>
      <family val="1"/>
      <charset val="238"/>
    </font>
    <font>
      <u/>
      <sz val="10"/>
      <name val="Arial"/>
      <family val="2"/>
      <charset val="238"/>
    </font>
    <font>
      <sz val="11"/>
      <color theme="1"/>
      <name val="Times New Roman"/>
      <family val="1"/>
      <charset val="238"/>
    </font>
    <font>
      <sz val="12"/>
      <name val="Arial"/>
      <family val="2"/>
      <charset val="238"/>
    </font>
    <font>
      <b/>
      <sz val="13"/>
      <name val="Times New Roman"/>
      <family val="1"/>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rgb="FFFFFF00"/>
        <bgColor indexed="64"/>
      </patternFill>
    </fill>
    <fill>
      <patternFill patternType="solid">
        <fgColor theme="0"/>
        <bgColor indexed="64"/>
      </patternFill>
    </fill>
  </fills>
  <borders count="80">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auto="1"/>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style="medium">
        <color indexed="64"/>
      </left>
      <right style="thin">
        <color indexed="64"/>
      </right>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n">
        <color indexed="8"/>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s>
  <cellStyleXfs count="77">
    <xf numFmtId="0" fontId="0" fillId="0" borderId="0"/>
    <xf numFmtId="0" fontId="10" fillId="2" borderId="0" applyNumberFormat="0" applyBorder="0" applyAlignment="0" applyProtection="0"/>
    <xf numFmtId="0" fontId="7" fillId="2" borderId="0" applyNumberFormat="0" applyBorder="0" applyAlignment="0" applyProtection="0"/>
    <xf numFmtId="0" fontId="10" fillId="3" borderId="0" applyNumberFormat="0" applyBorder="0" applyAlignment="0" applyProtection="0"/>
    <xf numFmtId="0" fontId="7" fillId="3" borderId="0" applyNumberFormat="0" applyBorder="0" applyAlignment="0" applyProtection="0"/>
    <xf numFmtId="0" fontId="10" fillId="4" borderId="0" applyNumberFormat="0" applyBorder="0" applyAlignment="0" applyProtection="0"/>
    <xf numFmtId="0" fontId="7" fillId="4" borderId="0" applyNumberFormat="0" applyBorder="0" applyAlignment="0" applyProtection="0"/>
    <xf numFmtId="0" fontId="10" fillId="5" borderId="0" applyNumberFormat="0" applyBorder="0" applyAlignment="0" applyProtection="0"/>
    <xf numFmtId="0" fontId="7" fillId="5" borderId="0" applyNumberFormat="0" applyBorder="0" applyAlignment="0" applyProtection="0"/>
    <xf numFmtId="0" fontId="10" fillId="6" borderId="0" applyNumberFormat="0" applyBorder="0" applyAlignment="0" applyProtection="0"/>
    <xf numFmtId="0" fontId="7" fillId="6" borderId="0" applyNumberFormat="0" applyBorder="0" applyAlignment="0" applyProtection="0"/>
    <xf numFmtId="0" fontId="10" fillId="7" borderId="0" applyNumberFormat="0" applyBorder="0" applyAlignment="0" applyProtection="0"/>
    <xf numFmtId="0" fontId="7" fillId="7" borderId="0" applyNumberFormat="0" applyBorder="0" applyAlignment="0" applyProtection="0"/>
    <xf numFmtId="0" fontId="10" fillId="8" borderId="0" applyNumberFormat="0" applyBorder="0" applyAlignment="0" applyProtection="0"/>
    <xf numFmtId="0" fontId="7" fillId="8" borderId="0" applyNumberFormat="0" applyBorder="0" applyAlignment="0" applyProtection="0"/>
    <xf numFmtId="0" fontId="10" fillId="9" borderId="0" applyNumberFormat="0" applyBorder="0" applyAlignment="0" applyProtection="0"/>
    <xf numFmtId="0" fontId="7" fillId="9" borderId="0" applyNumberFormat="0" applyBorder="0" applyAlignment="0" applyProtection="0"/>
    <xf numFmtId="0" fontId="10" fillId="10" borderId="0" applyNumberFormat="0" applyBorder="0" applyAlignment="0" applyProtection="0"/>
    <xf numFmtId="0" fontId="7" fillId="10" borderId="0" applyNumberFormat="0" applyBorder="0" applyAlignment="0" applyProtection="0"/>
    <xf numFmtId="0" fontId="10" fillId="5" borderId="0" applyNumberFormat="0" applyBorder="0" applyAlignment="0" applyProtection="0"/>
    <xf numFmtId="0" fontId="7" fillId="5" borderId="0" applyNumberFormat="0" applyBorder="0" applyAlignment="0" applyProtection="0"/>
    <xf numFmtId="0" fontId="10" fillId="8" borderId="0" applyNumberFormat="0" applyBorder="0" applyAlignment="0" applyProtection="0"/>
    <xf numFmtId="0" fontId="7" fillId="8" borderId="0" applyNumberFormat="0" applyBorder="0" applyAlignment="0" applyProtection="0"/>
    <xf numFmtId="0" fontId="10" fillId="11" borderId="0" applyNumberFormat="0" applyBorder="0" applyAlignment="0" applyProtection="0"/>
    <xf numFmtId="0" fontId="7"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7" borderId="1" applyNumberFormat="0" applyAlignment="0" applyProtection="0"/>
    <xf numFmtId="0" fontId="13" fillId="0" borderId="0" applyNumberFormat="0" applyFill="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17" fillId="16" borderId="5" applyNumberFormat="0" applyAlignment="0" applyProtection="0"/>
    <xf numFmtId="0" fontId="18" fillId="0" borderId="0" applyNumberFormat="0" applyFill="0" applyBorder="0" applyAlignment="0" applyProtection="0"/>
    <xf numFmtId="0" fontId="19" fillId="0" borderId="6" applyNumberFormat="0" applyFill="0" applyAlignment="0" applyProtection="0"/>
    <xf numFmtId="0" fontId="9" fillId="17" borderId="7" applyNumberFormat="0" applyFont="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20" fillId="4" borderId="0" applyNumberFormat="0" applyBorder="0" applyAlignment="0" applyProtection="0"/>
    <xf numFmtId="0" fontId="21" fillId="22" borderId="8" applyNumberFormat="0" applyAlignment="0" applyProtection="0"/>
    <xf numFmtId="0" fontId="22" fillId="0" borderId="0" applyNumberFormat="0" applyFill="0" applyBorder="0" applyAlignment="0" applyProtection="0"/>
    <xf numFmtId="0" fontId="42" fillId="0" borderId="0"/>
    <xf numFmtId="0" fontId="8" fillId="0" borderId="0"/>
    <xf numFmtId="0" fontId="8" fillId="0" borderId="0"/>
    <xf numFmtId="0" fontId="9" fillId="0" borderId="0" applyBorder="0"/>
    <xf numFmtId="0" fontId="35" fillId="0" borderId="0"/>
    <xf numFmtId="0" fontId="23" fillId="0" borderId="9" applyNumberFormat="0" applyFill="0" applyAlignment="0" applyProtection="0"/>
    <xf numFmtId="0" fontId="24" fillId="3" borderId="0" applyNumberFormat="0" applyBorder="0" applyAlignment="0" applyProtection="0"/>
    <xf numFmtId="0" fontId="25" fillId="23" borderId="0" applyNumberFormat="0" applyBorder="0" applyAlignment="0" applyProtection="0"/>
    <xf numFmtId="0" fontId="26" fillId="22" borderId="1" applyNumberFormat="0" applyAlignment="0" applyProtection="0"/>
    <xf numFmtId="0" fontId="9" fillId="0" borderId="0"/>
    <xf numFmtId="9" fontId="8" fillId="0" borderId="0" applyFont="0" applyFill="0" applyBorder="0" applyAlignment="0" applyProtection="0"/>
    <xf numFmtId="0" fontId="6" fillId="0" borderId="0"/>
    <xf numFmtId="44" fontId="8" fillId="0" borderId="0" applyFont="0" applyFill="0" applyBorder="0" applyAlignment="0" applyProtection="0"/>
    <xf numFmtId="43" fontId="5" fillId="0" borderId="0" applyFont="0" applyFill="0" applyBorder="0" applyAlignment="0" applyProtection="0"/>
    <xf numFmtId="0" fontId="4" fillId="0" borderId="0"/>
    <xf numFmtId="44" fontId="8" fillId="0" borderId="0" applyFont="0" applyFill="0" applyBorder="0" applyAlignment="0" applyProtection="0"/>
    <xf numFmtId="0" fontId="52" fillId="0" borderId="0"/>
    <xf numFmtId="0" fontId="9" fillId="0" borderId="0"/>
    <xf numFmtId="0" fontId="60" fillId="0" borderId="0" applyNumberFormat="0" applyFill="0" applyBorder="0" applyAlignment="0" applyProtection="0"/>
    <xf numFmtId="0" fontId="9" fillId="0" borderId="0"/>
    <xf numFmtId="0" fontId="52" fillId="0" borderId="0"/>
    <xf numFmtId="0" fontId="3" fillId="0" borderId="0"/>
    <xf numFmtId="0" fontId="35" fillId="0" borderId="0"/>
    <xf numFmtId="43" fontId="2" fillId="0" borderId="0" applyFont="0" applyFill="0" applyBorder="0" applyAlignment="0" applyProtection="0"/>
    <xf numFmtId="0" fontId="9" fillId="0" borderId="0" applyBorder="0"/>
    <xf numFmtId="0" fontId="9" fillId="0" borderId="0" applyBorder="0"/>
    <xf numFmtId="43" fontId="1" fillId="0" borderId="0" applyFont="0" applyFill="0" applyBorder="0" applyAlignment="0" applyProtection="0"/>
  </cellStyleXfs>
  <cellXfs count="686">
    <xf numFmtId="0" fontId="0" fillId="0" borderId="0" xfId="0"/>
    <xf numFmtId="0" fontId="27" fillId="0" borderId="0" xfId="53" applyFont="1"/>
    <xf numFmtId="0" fontId="30" fillId="0" borderId="0" xfId="53" applyFont="1"/>
    <xf numFmtId="0" fontId="34" fillId="0" borderId="11" xfId="53" applyFont="1" applyBorder="1" applyAlignment="1">
      <alignment horizontal="center"/>
    </xf>
    <xf numFmtId="0" fontId="31" fillId="0" borderId="11" xfId="53" applyFont="1" applyBorder="1" applyAlignment="1">
      <alignment horizontal="right"/>
    </xf>
    <xf numFmtId="0" fontId="27" fillId="0" borderId="0" xfId="53" applyFont="1" applyAlignment="1">
      <alignment vertical="center"/>
    </xf>
    <xf numFmtId="0" fontId="31" fillId="0" borderId="0" xfId="53" applyFont="1"/>
    <xf numFmtId="0" fontId="31" fillId="0" borderId="0" xfId="53" applyFont="1" applyBorder="1" applyAlignment="1">
      <alignment horizontal="right"/>
    </xf>
    <xf numFmtId="0" fontId="8" fillId="0" borderId="0" xfId="51"/>
    <xf numFmtId="0" fontId="38" fillId="0" borderId="0" xfId="53" applyFont="1" applyBorder="1" applyAlignment="1">
      <alignment horizontal="right"/>
    </xf>
    <xf numFmtId="0" fontId="8" fillId="0" borderId="10" xfId="51" applyBorder="1"/>
    <xf numFmtId="0" fontId="27" fillId="0" borderId="0" xfId="53" applyFont="1" applyAlignment="1">
      <alignment wrapText="1"/>
    </xf>
    <xf numFmtId="0" fontId="29" fillId="0" borderId="0" xfId="53" applyFont="1"/>
    <xf numFmtId="0" fontId="37" fillId="0" borderId="0" xfId="53" applyFont="1" applyBorder="1" applyAlignment="1">
      <alignment horizontal="right"/>
    </xf>
    <xf numFmtId="0" fontId="36" fillId="0" borderId="0" xfId="52" applyFont="1"/>
    <xf numFmtId="0" fontId="8" fillId="0" borderId="0" xfId="52"/>
    <xf numFmtId="3" fontId="33" fillId="0" borderId="10" xfId="53" applyNumberFormat="1" applyFont="1" applyBorder="1"/>
    <xf numFmtId="3" fontId="31" fillId="0" borderId="10" xfId="53" applyNumberFormat="1" applyFont="1" applyBorder="1"/>
    <xf numFmtId="0" fontId="32" fillId="0" borderId="0" xfId="53" applyFont="1" applyBorder="1"/>
    <xf numFmtId="0" fontId="37" fillId="0" borderId="10" xfId="53" applyFont="1" applyBorder="1"/>
    <xf numFmtId="0" fontId="37" fillId="0" borderId="0" xfId="53" applyFont="1" applyBorder="1"/>
    <xf numFmtId="0" fontId="39" fillId="0" borderId="0" xfId="53" applyFont="1" applyBorder="1" applyAlignment="1">
      <alignment horizontal="center"/>
    </xf>
    <xf numFmtId="3" fontId="39" fillId="0" borderId="14" xfId="53" applyNumberFormat="1" applyFont="1" applyBorder="1" applyAlignment="1">
      <alignment horizontal="center"/>
    </xf>
    <xf numFmtId="3" fontId="39" fillId="0" borderId="15" xfId="53" applyNumberFormat="1" applyFont="1" applyBorder="1" applyAlignment="1">
      <alignment horizontal="center"/>
    </xf>
    <xf numFmtId="3" fontId="39" fillId="0" borderId="16" xfId="53" applyNumberFormat="1" applyFont="1" applyBorder="1" applyAlignment="1">
      <alignment horizontal="center"/>
    </xf>
    <xf numFmtId="1" fontId="39" fillId="0" borderId="26" xfId="53" applyNumberFormat="1" applyFont="1" applyBorder="1" applyAlignment="1">
      <alignment horizontal="center" vertical="center"/>
    </xf>
    <xf numFmtId="0" fontId="39" fillId="0" borderId="21" xfId="53" applyFont="1" applyBorder="1" applyAlignment="1">
      <alignment horizontal="center" vertical="center"/>
    </xf>
    <xf numFmtId="0" fontId="37" fillId="0" borderId="23" xfId="53" applyFont="1" applyBorder="1" applyAlignment="1">
      <alignment horizontal="center" vertical="center"/>
    </xf>
    <xf numFmtId="0" fontId="39" fillId="0" borderId="32" xfId="53" applyFont="1" applyBorder="1" applyAlignment="1">
      <alignment horizontal="center" vertical="center"/>
    </xf>
    <xf numFmtId="0" fontId="37" fillId="0" borderId="13" xfId="53" applyFont="1" applyBorder="1"/>
    <xf numFmtId="0" fontId="31" fillId="0" borderId="10" xfId="53" applyFont="1" applyBorder="1" applyAlignment="1">
      <alignment vertical="center" wrapText="1"/>
    </xf>
    <xf numFmtId="3" fontId="31" fillId="0" borderId="10" xfId="53" applyNumberFormat="1" applyFont="1" applyBorder="1" applyAlignment="1">
      <alignment wrapText="1"/>
    </xf>
    <xf numFmtId="3" fontId="33" fillId="0" borderId="10" xfId="53" applyNumberFormat="1" applyFont="1" applyBorder="1" applyAlignment="1">
      <alignment wrapText="1"/>
    </xf>
    <xf numFmtId="0" fontId="31" fillId="0" borderId="10" xfId="53" applyFont="1" applyBorder="1" applyAlignment="1">
      <alignment horizontal="center" vertical="center" wrapText="1"/>
    </xf>
    <xf numFmtId="0" fontId="27" fillId="0" borderId="0" xfId="51" applyFont="1" applyAlignment="1">
      <alignment horizontal="right"/>
    </xf>
    <xf numFmtId="3" fontId="37" fillId="0" borderId="28" xfId="53" applyNumberFormat="1" applyFont="1" applyBorder="1" applyAlignment="1">
      <alignment horizontal="center" wrapText="1"/>
    </xf>
    <xf numFmtId="0" fontId="37" fillId="0" borderId="28" xfId="53" applyFont="1" applyBorder="1" applyAlignment="1">
      <alignment horizontal="center" wrapText="1"/>
    </xf>
    <xf numFmtId="0" fontId="27" fillId="0" borderId="0" xfId="53" applyFont="1" applyBorder="1"/>
    <xf numFmtId="0" fontId="27" fillId="0" borderId="0" xfId="53" applyFont="1" applyBorder="1" applyAlignment="1">
      <alignment horizontal="right"/>
    </xf>
    <xf numFmtId="3" fontId="37" fillId="0" borderId="36" xfId="53" applyNumberFormat="1" applyFont="1" applyBorder="1" applyAlignment="1">
      <alignment horizontal="right"/>
    </xf>
    <xf numFmtId="0" fontId="37" fillId="0" borderId="37" xfId="53" applyFont="1" applyBorder="1" applyAlignment="1">
      <alignment horizontal="center" wrapText="1"/>
    </xf>
    <xf numFmtId="3" fontId="37" fillId="0" borderId="10" xfId="53" applyNumberFormat="1" applyFont="1" applyBorder="1"/>
    <xf numFmtId="3" fontId="27" fillId="0" borderId="10" xfId="53" applyNumberFormat="1" applyFont="1" applyBorder="1"/>
    <xf numFmtId="0" fontId="8" fillId="0" borderId="0" xfId="0" applyFont="1"/>
    <xf numFmtId="0" fontId="27" fillId="0" borderId="45" xfId="51" applyFont="1" applyBorder="1" applyAlignment="1">
      <alignment horizontal="right"/>
    </xf>
    <xf numFmtId="0" fontId="28" fillId="0" borderId="0" xfId="53" applyFont="1" applyBorder="1" applyAlignment="1">
      <alignment horizontal="right"/>
    </xf>
    <xf numFmtId="0" fontId="39" fillId="0" borderId="24" xfId="53" applyFont="1" applyBorder="1" applyAlignment="1">
      <alignment horizontal="center"/>
    </xf>
    <xf numFmtId="0" fontId="39" fillId="0" borderId="25" xfId="53" applyFont="1" applyBorder="1" applyAlignment="1">
      <alignment horizontal="center"/>
    </xf>
    <xf numFmtId="0" fontId="39" fillId="0" borderId="26" xfId="53" applyFont="1" applyBorder="1"/>
    <xf numFmtId="3" fontId="39" fillId="0" borderId="41" xfId="53" applyNumberFormat="1" applyFont="1" applyBorder="1"/>
    <xf numFmtId="3" fontId="39" fillId="0" borderId="12" xfId="53" applyNumberFormat="1" applyFont="1" applyBorder="1"/>
    <xf numFmtId="3" fontId="39" fillId="0" borderId="11" xfId="53" applyNumberFormat="1" applyFont="1" applyBorder="1"/>
    <xf numFmtId="0" fontId="39" fillId="0" borderId="18" xfId="53" applyFont="1" applyBorder="1" applyAlignment="1">
      <alignment horizontal="center"/>
    </xf>
    <xf numFmtId="0" fontId="39" fillId="0" borderId="19" xfId="53" applyFont="1" applyBorder="1" applyAlignment="1">
      <alignment horizontal="center"/>
    </xf>
    <xf numFmtId="0" fontId="39" fillId="0" borderId="30" xfId="53" applyFont="1" applyBorder="1"/>
    <xf numFmtId="3" fontId="39" fillId="0" borderId="30" xfId="53" applyNumberFormat="1" applyFont="1" applyBorder="1"/>
    <xf numFmtId="3" fontId="39" fillId="0" borderId="10" xfId="53" applyNumberFormat="1" applyFont="1" applyBorder="1"/>
    <xf numFmtId="3" fontId="39" fillId="0" borderId="33" xfId="53" applyNumberFormat="1" applyFont="1" applyBorder="1"/>
    <xf numFmtId="0" fontId="39" fillId="0" borderId="34" xfId="53" applyFont="1" applyBorder="1" applyAlignment="1">
      <alignment horizontal="center"/>
    </xf>
    <xf numFmtId="0" fontId="39" fillId="0" borderId="20" xfId="53" applyFont="1" applyBorder="1" applyAlignment="1">
      <alignment wrapText="1"/>
    </xf>
    <xf numFmtId="0" fontId="37" fillId="0" borderId="18" xfId="53" applyFont="1" applyBorder="1"/>
    <xf numFmtId="0" fontId="37" fillId="0" borderId="33" xfId="53" applyFont="1" applyBorder="1" applyAlignment="1">
      <alignment horizontal="center"/>
    </xf>
    <xf numFmtId="0" fontId="37" fillId="0" borderId="30" xfId="53" applyFont="1" applyBorder="1"/>
    <xf numFmtId="3" fontId="37" fillId="0" borderId="30" xfId="53" applyNumberFormat="1" applyFont="1" applyBorder="1"/>
    <xf numFmtId="3" fontId="37" fillId="0" borderId="33" xfId="53" applyNumberFormat="1" applyFont="1" applyBorder="1"/>
    <xf numFmtId="3" fontId="37" fillId="0" borderId="18" xfId="53" applyNumberFormat="1" applyFont="1" applyBorder="1"/>
    <xf numFmtId="3" fontId="37" fillId="0" borderId="34" xfId="53" applyNumberFormat="1" applyFont="1" applyBorder="1"/>
    <xf numFmtId="0" fontId="37" fillId="0" borderId="34" xfId="53" applyFont="1" applyBorder="1" applyAlignment="1">
      <alignment horizontal="center"/>
    </xf>
    <xf numFmtId="0" fontId="38" fillId="0" borderId="18" xfId="53" applyFont="1" applyBorder="1"/>
    <xf numFmtId="0" fontId="38" fillId="0" borderId="30" xfId="53" applyFont="1" applyBorder="1"/>
    <xf numFmtId="3" fontId="38" fillId="0" borderId="30" xfId="53" applyNumberFormat="1" applyFont="1" applyBorder="1"/>
    <xf numFmtId="3" fontId="38" fillId="0" borderId="10" xfId="53" applyNumberFormat="1" applyFont="1" applyBorder="1"/>
    <xf numFmtId="3" fontId="38" fillId="0" borderId="33" xfId="53" applyNumberFormat="1" applyFont="1" applyBorder="1"/>
    <xf numFmtId="0" fontId="37" fillId="0" borderId="18" xfId="53" applyFont="1" applyBorder="1" applyAlignment="1">
      <alignment horizontal="center"/>
    </xf>
    <xf numFmtId="0" fontId="38" fillId="0" borderId="18" xfId="53" applyFont="1" applyBorder="1" applyAlignment="1">
      <alignment horizontal="center"/>
    </xf>
    <xf numFmtId="0" fontId="38" fillId="0" borderId="34" xfId="53" applyFont="1" applyBorder="1" applyAlignment="1">
      <alignment horizontal="center"/>
    </xf>
    <xf numFmtId="3" fontId="39" fillId="0" borderId="30" xfId="53" applyNumberFormat="1" applyFont="1" applyBorder="1" applyAlignment="1">
      <alignment horizontal="right"/>
    </xf>
    <xf numFmtId="3" fontId="39" fillId="0" borderId="10" xfId="53" applyNumberFormat="1" applyFont="1" applyBorder="1" applyAlignment="1">
      <alignment horizontal="right"/>
    </xf>
    <xf numFmtId="3" fontId="39" fillId="0" borderId="33" xfId="53" applyNumberFormat="1" applyFont="1" applyBorder="1" applyAlignment="1">
      <alignment horizontal="right"/>
    </xf>
    <xf numFmtId="0" fontId="37" fillId="0" borderId="30" xfId="53" applyFont="1" applyBorder="1" applyAlignment="1">
      <alignment wrapText="1"/>
    </xf>
    <xf numFmtId="0" fontId="37" fillId="0" borderId="33" xfId="53" applyFont="1" applyBorder="1"/>
    <xf numFmtId="0" fontId="40" fillId="0" borderId="30" xfId="53" applyFont="1" applyBorder="1"/>
    <xf numFmtId="3" fontId="40" fillId="0" borderId="30" xfId="53" applyNumberFormat="1" applyFont="1" applyBorder="1"/>
    <xf numFmtId="3" fontId="40" fillId="0" borderId="10" xfId="53" applyNumberFormat="1" applyFont="1" applyBorder="1"/>
    <xf numFmtId="3" fontId="40" fillId="0" borderId="33" xfId="53" applyNumberFormat="1" applyFont="1" applyBorder="1"/>
    <xf numFmtId="3" fontId="37" fillId="0" borderId="30" xfId="53" applyNumberFormat="1" applyFont="1" applyBorder="1" applyAlignment="1">
      <alignment wrapText="1"/>
    </xf>
    <xf numFmtId="3" fontId="37" fillId="0" borderId="10" xfId="53" applyNumberFormat="1" applyFont="1" applyBorder="1" applyAlignment="1">
      <alignment wrapText="1"/>
    </xf>
    <xf numFmtId="3" fontId="37" fillId="0" borderId="33" xfId="53" applyNumberFormat="1" applyFont="1" applyBorder="1" applyAlignment="1">
      <alignment wrapText="1"/>
    </xf>
    <xf numFmtId="3" fontId="37" fillId="0" borderId="34" xfId="53" applyNumberFormat="1" applyFont="1" applyBorder="1" applyAlignment="1">
      <alignment wrapText="1"/>
    </xf>
    <xf numFmtId="16" fontId="37" fillId="0" borderId="30" xfId="53" applyNumberFormat="1" applyFont="1" applyBorder="1" applyAlignment="1">
      <alignment wrapText="1"/>
    </xf>
    <xf numFmtId="3" fontId="27" fillId="0" borderId="30" xfId="53" applyNumberFormat="1" applyFont="1" applyBorder="1"/>
    <xf numFmtId="3" fontId="27" fillId="0" borderId="33" xfId="53" applyNumberFormat="1" applyFont="1" applyBorder="1"/>
    <xf numFmtId="0" fontId="37" fillId="0" borderId="18" xfId="53" applyFont="1" applyBorder="1" applyAlignment="1">
      <alignment horizontal="center" wrapText="1"/>
    </xf>
    <xf numFmtId="0" fontId="40" fillId="0" borderId="34" xfId="53" applyFont="1" applyBorder="1" applyAlignment="1">
      <alignment horizontal="center"/>
    </xf>
    <xf numFmtId="16" fontId="37" fillId="0" borderId="30" xfId="53" applyNumberFormat="1" applyFont="1" applyBorder="1"/>
    <xf numFmtId="0" fontId="39" fillId="0" borderId="18" xfId="53" applyFont="1" applyBorder="1"/>
    <xf numFmtId="0" fontId="37" fillId="0" borderId="34" xfId="53" applyFont="1" applyBorder="1" applyAlignment="1">
      <alignment horizontal="center" wrapText="1"/>
    </xf>
    <xf numFmtId="0" fontId="37" fillId="0" borderId="20" xfId="53" applyFont="1" applyBorder="1" applyAlignment="1">
      <alignment wrapText="1"/>
    </xf>
    <xf numFmtId="0" fontId="41" fillId="0" borderId="34" xfId="53" applyFont="1" applyBorder="1"/>
    <xf numFmtId="0" fontId="41" fillId="0" borderId="30" xfId="53" applyFont="1" applyBorder="1"/>
    <xf numFmtId="0" fontId="37" fillId="0" borderId="20" xfId="53" applyFont="1" applyBorder="1"/>
    <xf numFmtId="0" fontId="37" fillId="0" borderId="34" xfId="53" applyFont="1" applyBorder="1"/>
    <xf numFmtId="0" fontId="37" fillId="0" borderId="21" xfId="53" applyFont="1" applyBorder="1"/>
    <xf numFmtId="0" fontId="37" fillId="0" borderId="38" xfId="53" applyFont="1" applyBorder="1"/>
    <xf numFmtId="0" fontId="39" fillId="0" borderId="32" xfId="53" applyFont="1" applyBorder="1"/>
    <xf numFmtId="3" fontId="39" fillId="0" borderId="32" xfId="53" applyNumberFormat="1" applyFont="1" applyBorder="1"/>
    <xf numFmtId="3" fontId="39" fillId="0" borderId="39" xfId="53" applyNumberFormat="1" applyFont="1" applyBorder="1"/>
    <xf numFmtId="3" fontId="39" fillId="0" borderId="42" xfId="53" applyNumberFormat="1" applyFont="1" applyBorder="1"/>
    <xf numFmtId="0" fontId="28" fillId="0" borderId="0" xfId="51" applyFont="1" applyAlignment="1">
      <alignment horizontal="right"/>
    </xf>
    <xf numFmtId="0" fontId="39" fillId="0" borderId="14" xfId="53" applyFont="1" applyBorder="1" applyAlignment="1">
      <alignment horizontal="center"/>
    </xf>
    <xf numFmtId="0" fontId="39" fillId="0" borderId="15" xfId="53" applyFont="1" applyBorder="1" applyAlignment="1">
      <alignment horizontal="center"/>
    </xf>
    <xf numFmtId="0" fontId="39" fillId="0" borderId="16" xfId="53" applyFont="1" applyBorder="1" applyAlignment="1">
      <alignment horizontal="center"/>
    </xf>
    <xf numFmtId="0" fontId="39" fillId="0" borderId="17" xfId="53" applyFont="1" applyBorder="1" applyAlignment="1">
      <alignment horizontal="center"/>
    </xf>
    <xf numFmtId="0" fontId="37" fillId="0" borderId="23" xfId="53" applyFont="1" applyBorder="1" applyAlignment="1">
      <alignment horizontal="right"/>
    </xf>
    <xf numFmtId="0" fontId="37" fillId="0" borderId="22" xfId="53" applyFont="1" applyBorder="1"/>
    <xf numFmtId="3" fontId="37" fillId="0" borderId="27" xfId="53" applyNumberFormat="1" applyFont="1" applyBorder="1" applyAlignment="1">
      <alignment horizontal="right"/>
    </xf>
    <xf numFmtId="0" fontId="37" fillId="0" borderId="29" xfId="53" applyFont="1" applyBorder="1" applyAlignment="1">
      <alignment horizontal="center" wrapText="1"/>
    </xf>
    <xf numFmtId="0" fontId="39" fillId="0" borderId="15" xfId="53" applyFont="1" applyBorder="1"/>
    <xf numFmtId="0" fontId="39" fillId="0" borderId="16" xfId="53" applyFont="1" applyBorder="1" applyAlignment="1">
      <alignment horizontal="right"/>
    </xf>
    <xf numFmtId="0" fontId="39" fillId="0" borderId="17" xfId="53" applyFont="1" applyBorder="1"/>
    <xf numFmtId="0" fontId="39" fillId="0" borderId="31" xfId="53" applyFont="1" applyBorder="1"/>
    <xf numFmtId="0" fontId="39" fillId="0" borderId="43" xfId="53" applyFont="1" applyBorder="1"/>
    <xf numFmtId="0" fontId="37" fillId="0" borderId="34" xfId="53" applyFont="1" applyBorder="1" applyAlignment="1">
      <alignment horizontal="right"/>
    </xf>
    <xf numFmtId="3" fontId="37" fillId="0" borderId="35" xfId="53" applyNumberFormat="1" applyFont="1" applyBorder="1"/>
    <xf numFmtId="3" fontId="39" fillId="0" borderId="35" xfId="53" applyNumberFormat="1" applyFont="1" applyBorder="1"/>
    <xf numFmtId="0" fontId="37" fillId="0" borderId="18" xfId="53" applyFont="1" applyBorder="1" applyAlignment="1">
      <alignment wrapText="1"/>
    </xf>
    <xf numFmtId="0" fontId="37" fillId="0" borderId="34" xfId="53" applyFont="1" applyBorder="1" applyAlignment="1">
      <alignment wrapText="1"/>
    </xf>
    <xf numFmtId="3" fontId="37" fillId="0" borderId="35" xfId="53" applyNumberFormat="1" applyFont="1" applyBorder="1" applyAlignment="1">
      <alignment wrapText="1"/>
    </xf>
    <xf numFmtId="0" fontId="39" fillId="0" borderId="20" xfId="53" applyFont="1" applyBorder="1"/>
    <xf numFmtId="0" fontId="39" fillId="0" borderId="34" xfId="53" applyFont="1" applyBorder="1" applyAlignment="1">
      <alignment horizontal="right"/>
    </xf>
    <xf numFmtId="0" fontId="38" fillId="0" borderId="34" xfId="53" applyFont="1" applyBorder="1" applyAlignment="1">
      <alignment horizontal="right"/>
    </xf>
    <xf numFmtId="0" fontId="38" fillId="0" borderId="20" xfId="53" applyFont="1" applyBorder="1"/>
    <xf numFmtId="3" fontId="38" fillId="0" borderId="35" xfId="53" applyNumberFormat="1" applyFont="1" applyBorder="1"/>
    <xf numFmtId="3" fontId="39" fillId="0" borderId="30" xfId="53" applyNumberFormat="1" applyFont="1" applyBorder="1" applyAlignment="1">
      <alignment wrapText="1"/>
    </xf>
    <xf numFmtId="3" fontId="39" fillId="0" borderId="10" xfId="53" applyNumberFormat="1" applyFont="1" applyBorder="1" applyAlignment="1">
      <alignment wrapText="1"/>
    </xf>
    <xf numFmtId="3" fontId="39" fillId="0" borderId="35" xfId="53" applyNumberFormat="1" applyFont="1" applyBorder="1" applyAlignment="1">
      <alignment wrapText="1"/>
    </xf>
    <xf numFmtId="3" fontId="39" fillId="0" borderId="33" xfId="53" applyNumberFormat="1" applyFont="1" applyBorder="1" applyAlignment="1">
      <alignment wrapText="1"/>
    </xf>
    <xf numFmtId="49" fontId="37" fillId="0" borderId="20" xfId="53" quotePrefix="1" applyNumberFormat="1" applyFont="1" applyBorder="1" applyAlignment="1">
      <alignment wrapText="1"/>
    </xf>
    <xf numFmtId="0" fontId="37" fillId="0" borderId="20" xfId="53" quotePrefix="1" applyFont="1" applyBorder="1" applyAlignment="1">
      <alignment wrapText="1"/>
    </xf>
    <xf numFmtId="0" fontId="40" fillId="0" borderId="20" xfId="53" applyFont="1" applyBorder="1" applyAlignment="1">
      <alignment wrapText="1"/>
    </xf>
    <xf numFmtId="3" fontId="40" fillId="0" borderId="30" xfId="53" applyNumberFormat="1" applyFont="1" applyBorder="1" applyAlignment="1">
      <alignment wrapText="1"/>
    </xf>
    <xf numFmtId="3" fontId="40" fillId="0" borderId="10" xfId="53" applyNumberFormat="1" applyFont="1" applyBorder="1" applyAlignment="1">
      <alignment wrapText="1"/>
    </xf>
    <xf numFmtId="3" fontId="40" fillId="0" borderId="35" xfId="53" applyNumberFormat="1" applyFont="1" applyBorder="1" applyAlignment="1">
      <alignment wrapText="1"/>
    </xf>
    <xf numFmtId="3" fontId="40" fillId="0" borderId="33" xfId="53" applyNumberFormat="1" applyFont="1" applyBorder="1" applyAlignment="1">
      <alignment wrapText="1"/>
    </xf>
    <xf numFmtId="0" fontId="38" fillId="0" borderId="20" xfId="53" applyFont="1" applyBorder="1" applyAlignment="1">
      <alignment wrapText="1"/>
    </xf>
    <xf numFmtId="3" fontId="38" fillId="0" borderId="30" xfId="53" applyNumberFormat="1" applyFont="1" applyBorder="1" applyAlignment="1">
      <alignment wrapText="1"/>
    </xf>
    <xf numFmtId="3" fontId="38" fillId="0" borderId="10" xfId="53" applyNumberFormat="1" applyFont="1" applyBorder="1" applyAlignment="1">
      <alignment wrapText="1"/>
    </xf>
    <xf numFmtId="3" fontId="38" fillId="0" borderId="35" xfId="53" applyNumberFormat="1" applyFont="1" applyBorder="1" applyAlignment="1">
      <alignment wrapText="1"/>
    </xf>
    <xf numFmtId="3" fontId="38" fillId="0" borderId="33" xfId="53" applyNumberFormat="1" applyFont="1" applyBorder="1" applyAlignment="1">
      <alignment wrapText="1"/>
    </xf>
    <xf numFmtId="0" fontId="40" fillId="0" borderId="18" xfId="53" applyFont="1" applyBorder="1"/>
    <xf numFmtId="0" fontId="27" fillId="0" borderId="13" xfId="53" applyFont="1" applyBorder="1" applyAlignment="1">
      <alignment horizontal="right"/>
    </xf>
    <xf numFmtId="16" fontId="37" fillId="0" borderId="20" xfId="53" applyNumberFormat="1" applyFont="1" applyBorder="1" applyAlignment="1">
      <alignment wrapText="1"/>
    </xf>
    <xf numFmtId="0" fontId="40" fillId="0" borderId="18" xfId="53" applyFont="1" applyBorder="1" applyAlignment="1">
      <alignment wrapText="1"/>
    </xf>
    <xf numFmtId="0" fontId="40" fillId="0" borderId="34" xfId="53" applyFont="1" applyBorder="1" applyAlignment="1">
      <alignment wrapText="1"/>
    </xf>
    <xf numFmtId="0" fontId="37" fillId="0" borderId="34" xfId="53" applyFont="1" applyBorder="1" applyAlignment="1">
      <alignment horizontal="right" wrapText="1"/>
    </xf>
    <xf numFmtId="0" fontId="28" fillId="0" borderId="13" xfId="53" applyFont="1" applyBorder="1"/>
    <xf numFmtId="0" fontId="40" fillId="0" borderId="34" xfId="53" applyFont="1" applyBorder="1" applyAlignment="1">
      <alignment horizontal="right"/>
    </xf>
    <xf numFmtId="0" fontId="29" fillId="0" borderId="18" xfId="53" applyFont="1" applyBorder="1"/>
    <xf numFmtId="0" fontId="39" fillId="0" borderId="33" xfId="53" applyFont="1" applyBorder="1" applyAlignment="1">
      <alignment horizontal="right"/>
    </xf>
    <xf numFmtId="0" fontId="27" fillId="0" borderId="13" xfId="53" applyFont="1" applyBorder="1"/>
    <xf numFmtId="0" fontId="37" fillId="0" borderId="19" xfId="53" applyFont="1" applyBorder="1"/>
    <xf numFmtId="0" fontId="8" fillId="0" borderId="33" xfId="51" applyBorder="1"/>
    <xf numFmtId="0" fontId="8" fillId="0" borderId="34" xfId="51" applyBorder="1"/>
    <xf numFmtId="3" fontId="39" fillId="0" borderId="30" xfId="51" applyNumberFormat="1" applyFont="1" applyBorder="1"/>
    <xf numFmtId="3" fontId="39" fillId="0" borderId="10" xfId="51" applyNumberFormat="1" applyFont="1" applyBorder="1"/>
    <xf numFmtId="3" fontId="39" fillId="0" borderId="33" xfId="51" applyNumberFormat="1" applyFont="1" applyBorder="1"/>
    <xf numFmtId="0" fontId="39" fillId="0" borderId="19" xfId="53" applyFont="1" applyBorder="1" applyAlignment="1">
      <alignment horizontal="right"/>
    </xf>
    <xf numFmtId="0" fontId="37" fillId="0" borderId="19" xfId="53" applyFont="1" applyBorder="1" applyAlignment="1">
      <alignment horizontal="right" vertical="center"/>
    </xf>
    <xf numFmtId="0" fontId="37" fillId="0" borderId="20" xfId="53" applyFont="1" applyBorder="1" applyAlignment="1">
      <alignment vertical="top" wrapText="1"/>
    </xf>
    <xf numFmtId="3" fontId="37" fillId="0" borderId="30" xfId="53" applyNumberFormat="1" applyFont="1" applyBorder="1" applyAlignment="1">
      <alignment vertical="top" wrapText="1"/>
    </xf>
    <xf numFmtId="3" fontId="37" fillId="0" borderId="10" xfId="53" applyNumberFormat="1" applyFont="1" applyBorder="1" applyAlignment="1">
      <alignment vertical="top" wrapText="1"/>
    </xf>
    <xf numFmtId="3" fontId="37" fillId="0" borderId="33" xfId="53" applyNumberFormat="1" applyFont="1" applyBorder="1" applyAlignment="1">
      <alignment vertical="top" wrapText="1"/>
    </xf>
    <xf numFmtId="0" fontId="37" fillId="0" borderId="19" xfId="53" applyFont="1" applyBorder="1" applyAlignment="1">
      <alignment horizontal="right"/>
    </xf>
    <xf numFmtId="0" fontId="38" fillId="0" borderId="19" xfId="53" applyFont="1" applyBorder="1" applyAlignment="1">
      <alignment horizontal="right"/>
    </xf>
    <xf numFmtId="0" fontId="38" fillId="0" borderId="24" xfId="53" applyFont="1" applyBorder="1"/>
    <xf numFmtId="0" fontId="40" fillId="0" borderId="19" xfId="53" applyFont="1" applyBorder="1" applyAlignment="1">
      <alignment horizontal="right"/>
    </xf>
    <xf numFmtId="0" fontId="39" fillId="0" borderId="22" xfId="53" applyFont="1" applyBorder="1"/>
    <xf numFmtId="3" fontId="39" fillId="0" borderId="44" xfId="53" applyNumberFormat="1" applyFont="1" applyBorder="1"/>
    <xf numFmtId="0" fontId="27" fillId="0" borderId="10" xfId="53" applyFont="1" applyBorder="1" applyAlignment="1">
      <alignment horizontal="right"/>
    </xf>
    <xf numFmtId="0" fontId="49" fillId="0" borderId="0" xfId="51" applyFont="1"/>
    <xf numFmtId="3" fontId="49" fillId="0" borderId="0" xfId="51" applyNumberFormat="1" applyFont="1"/>
    <xf numFmtId="0" fontId="50" fillId="0" borderId="0" xfId="51" applyFont="1"/>
    <xf numFmtId="0" fontId="50" fillId="0" borderId="0" xfId="51" applyFont="1" applyAlignment="1">
      <alignment horizontal="center"/>
    </xf>
    <xf numFmtId="0" fontId="50" fillId="0" borderId="0" xfId="51" applyFont="1" applyAlignment="1">
      <alignment horizontal="center" wrapText="1"/>
    </xf>
    <xf numFmtId="3" fontId="49" fillId="0" borderId="0" xfId="51" applyNumberFormat="1" applyFont="1" applyAlignment="1">
      <alignment horizontal="right"/>
    </xf>
    <xf numFmtId="0" fontId="49" fillId="0" borderId="0" xfId="51" applyFont="1" applyAlignment="1">
      <alignment horizontal="center"/>
    </xf>
    <xf numFmtId="0" fontId="49" fillId="0" borderId="0" xfId="51" applyFont="1" applyAlignment="1">
      <alignment wrapText="1"/>
    </xf>
    <xf numFmtId="0" fontId="49" fillId="0" borderId="0" xfId="51" applyFont="1" applyAlignment="1">
      <alignment horizontal="right"/>
    </xf>
    <xf numFmtId="0" fontId="50" fillId="0" borderId="10" xfId="51" applyFont="1" applyBorder="1" applyAlignment="1">
      <alignment horizontal="center" vertical="center"/>
    </xf>
    <xf numFmtId="0" fontId="49" fillId="0" borderId="10" xfId="51" applyFont="1" applyBorder="1" applyAlignment="1">
      <alignment horizontal="right"/>
    </xf>
    <xf numFmtId="3" fontId="50" fillId="0" borderId="10" xfId="51" applyNumberFormat="1" applyFont="1" applyBorder="1" applyAlignment="1">
      <alignment horizontal="center" vertical="center"/>
    </xf>
    <xf numFmtId="3" fontId="50" fillId="0" borderId="10" xfId="51" applyNumberFormat="1" applyFont="1" applyBorder="1" applyAlignment="1">
      <alignment horizontal="right" vertical="center"/>
    </xf>
    <xf numFmtId="0" fontId="49" fillId="0" borderId="12" xfId="51" applyFont="1" applyBorder="1" applyAlignment="1">
      <alignment horizontal="center"/>
    </xf>
    <xf numFmtId="0" fontId="49" fillId="0" borderId="12" xfId="51" applyFont="1" applyBorder="1" applyAlignment="1">
      <alignment wrapText="1"/>
    </xf>
    <xf numFmtId="3" fontId="49" fillId="0" borderId="12" xfId="51" applyNumberFormat="1" applyFont="1" applyBorder="1"/>
    <xf numFmtId="0" fontId="49" fillId="0" borderId="12" xfId="51" applyFont="1" applyBorder="1"/>
    <xf numFmtId="3" fontId="51" fillId="0" borderId="12" xfId="51" applyNumberFormat="1" applyFont="1" applyBorder="1"/>
    <xf numFmtId="0" fontId="49" fillId="0" borderId="10" xfId="51" applyFont="1" applyBorder="1" applyAlignment="1">
      <alignment horizontal="center"/>
    </xf>
    <xf numFmtId="0" fontId="49" fillId="0" borderId="10" xfId="51" applyFont="1" applyBorder="1" applyAlignment="1">
      <alignment wrapText="1"/>
    </xf>
    <xf numFmtId="3" fontId="49" fillId="0" borderId="10" xfId="51" applyNumberFormat="1" applyFont="1" applyBorder="1"/>
    <xf numFmtId="0" fontId="49" fillId="0" borderId="10" xfId="51" applyFont="1" applyBorder="1"/>
    <xf numFmtId="3" fontId="51" fillId="0" borderId="10" xfId="51" applyNumberFormat="1" applyFont="1" applyBorder="1"/>
    <xf numFmtId="0" fontId="50" fillId="0" borderId="10" xfId="51" applyFont="1" applyBorder="1" applyAlignment="1">
      <alignment horizontal="right" wrapText="1"/>
    </xf>
    <xf numFmtId="0" fontId="50" fillId="0" borderId="0" xfId="51" applyFont="1" applyAlignment="1">
      <alignment horizontal="right" wrapText="1"/>
    </xf>
    <xf numFmtId="3" fontId="51" fillId="0" borderId="0" xfId="51" applyNumberFormat="1" applyFont="1"/>
    <xf numFmtId="3" fontId="50" fillId="0" borderId="10" xfId="51" applyNumberFormat="1" applyFont="1" applyBorder="1"/>
    <xf numFmtId="3" fontId="49" fillId="0" borderId="35" xfId="51" applyNumberFormat="1" applyFont="1" applyBorder="1"/>
    <xf numFmtId="0" fontId="52" fillId="0" borderId="0" xfId="66"/>
    <xf numFmtId="0" fontId="52" fillId="0" borderId="0" xfId="66" applyAlignment="1">
      <alignment wrapText="1"/>
    </xf>
    <xf numFmtId="0" fontId="51" fillId="0" borderId="0" xfId="66" applyFont="1" applyAlignment="1">
      <alignment horizontal="center"/>
    </xf>
    <xf numFmtId="0" fontId="51" fillId="0" borderId="0" xfId="66" applyFont="1" applyAlignment="1">
      <alignment wrapText="1"/>
    </xf>
    <xf numFmtId="0" fontId="51" fillId="0" borderId="0" xfId="66" applyFont="1"/>
    <xf numFmtId="0" fontId="52" fillId="0" borderId="0" xfId="66" applyAlignment="1">
      <alignment horizontal="right"/>
    </xf>
    <xf numFmtId="0" fontId="52" fillId="0" borderId="10" xfId="66" applyBorder="1" applyAlignment="1">
      <alignment wrapText="1"/>
    </xf>
    <xf numFmtId="0" fontId="51" fillId="0" borderId="10" xfId="66" applyFont="1" applyBorder="1" applyAlignment="1">
      <alignment horizontal="center" wrapText="1"/>
    </xf>
    <xf numFmtId="0" fontId="34" fillId="0" borderId="35" xfId="67" applyFont="1" applyBorder="1" applyAlignment="1">
      <alignment horizontal="center" wrapText="1"/>
    </xf>
    <xf numFmtId="0" fontId="52" fillId="0" borderId="10" xfId="66" applyBorder="1" applyAlignment="1">
      <alignment vertical="center"/>
    </xf>
    <xf numFmtId="0" fontId="52" fillId="0" borderId="10" xfId="66" applyBorder="1" applyAlignment="1">
      <alignment vertical="center" wrapText="1"/>
    </xf>
    <xf numFmtId="0" fontId="52" fillId="0" borderId="10" xfId="66" applyBorder="1" applyAlignment="1">
      <alignment horizontal="center" vertical="center"/>
    </xf>
    <xf numFmtId="3" fontId="52" fillId="0" borderId="10" xfId="66" applyNumberFormat="1" applyBorder="1" applyAlignment="1">
      <alignment horizontal="right" vertical="center"/>
    </xf>
    <xf numFmtId="49" fontId="52" fillId="0" borderId="10" xfId="66" applyNumberFormat="1" applyBorder="1" applyAlignment="1">
      <alignment horizontal="center" vertical="center"/>
    </xf>
    <xf numFmtId="3" fontId="31" fillId="0" borderId="35" xfId="67" applyNumberFormat="1" applyFont="1" applyBorder="1" applyAlignment="1">
      <alignment vertical="center"/>
    </xf>
    <xf numFmtId="3" fontId="31" fillId="0" borderId="10" xfId="67" applyNumberFormat="1" applyFont="1" applyBorder="1" applyAlignment="1">
      <alignment vertical="center"/>
    </xf>
    <xf numFmtId="3" fontId="52" fillId="0" borderId="0" xfId="66" applyNumberFormat="1"/>
    <xf numFmtId="3" fontId="52" fillId="0" borderId="35" xfId="66" applyNumberFormat="1" applyBorder="1" applyAlignment="1">
      <alignment horizontal="right" vertical="center"/>
    </xf>
    <xf numFmtId="3" fontId="52" fillId="0" borderId="10" xfId="66" applyNumberFormat="1" applyBorder="1" applyAlignment="1">
      <alignment vertical="center"/>
    </xf>
    <xf numFmtId="0" fontId="31" fillId="0" borderId="0" xfId="67" applyFont="1"/>
    <xf numFmtId="3" fontId="27" fillId="0" borderId="0" xfId="53" applyNumberFormat="1" applyFont="1" applyBorder="1"/>
    <xf numFmtId="0" fontId="39" fillId="0" borderId="18" xfId="53" applyFont="1" applyBorder="1" applyAlignment="1">
      <alignment horizontal="right"/>
    </xf>
    <xf numFmtId="0" fontId="31" fillId="0" borderId="0" xfId="66" applyFont="1" applyAlignment="1">
      <alignment wrapText="1"/>
    </xf>
    <xf numFmtId="49" fontId="31" fillId="0" borderId="0" xfId="66" applyNumberFormat="1" applyFont="1" applyAlignment="1">
      <alignment wrapText="1"/>
    </xf>
    <xf numFmtId="0" fontId="31" fillId="0" borderId="0" xfId="66" applyFont="1" applyAlignment="1">
      <alignment horizontal="center"/>
    </xf>
    <xf numFmtId="3" fontId="31" fillId="0" borderId="0" xfId="66" applyNumberFormat="1" applyFont="1" applyAlignment="1">
      <alignment horizontal="right"/>
    </xf>
    <xf numFmtId="0" fontId="31" fillId="0" borderId="0" xfId="66" applyFont="1" applyAlignment="1">
      <alignment horizontal="center" wrapText="1"/>
    </xf>
    <xf numFmtId="3" fontId="31" fillId="0" borderId="0" xfId="66" applyNumberFormat="1" applyFont="1" applyAlignment="1">
      <alignment horizontal="center"/>
    </xf>
    <xf numFmtId="3" fontId="31" fillId="0" borderId="0" xfId="66" applyNumberFormat="1" applyFont="1"/>
    <xf numFmtId="164" fontId="54" fillId="0" borderId="0" xfId="66" applyNumberFormat="1" applyFont="1" applyAlignment="1">
      <alignment horizontal="center" vertical="center"/>
    </xf>
    <xf numFmtId="0" fontId="55" fillId="0" borderId="0" xfId="51" applyFont="1"/>
    <xf numFmtId="9" fontId="55" fillId="0" borderId="0" xfId="51" applyNumberFormat="1" applyFont="1"/>
    <xf numFmtId="49" fontId="31" fillId="0" borderId="15" xfId="66" applyNumberFormat="1" applyFont="1" applyBorder="1" applyAlignment="1">
      <alignment horizontal="left" vertical="center" wrapText="1"/>
    </xf>
    <xf numFmtId="0" fontId="31" fillId="0" borderId="31" xfId="51" applyFont="1" applyBorder="1"/>
    <xf numFmtId="14" fontId="31" fillId="0" borderId="31" xfId="66" applyNumberFormat="1" applyFont="1" applyBorder="1" applyAlignment="1">
      <alignment horizontal="center" vertical="center" wrapText="1"/>
    </xf>
    <xf numFmtId="3" fontId="31" fillId="0" borderId="31" xfId="66" applyNumberFormat="1" applyFont="1" applyBorder="1" applyAlignment="1">
      <alignment horizontal="right" vertical="center" wrapText="1"/>
    </xf>
    <xf numFmtId="3" fontId="31" fillId="0" borderId="16" xfId="66" applyNumberFormat="1" applyFont="1" applyBorder="1" applyAlignment="1">
      <alignment horizontal="right" vertical="center" wrapText="1"/>
    </xf>
    <xf numFmtId="0" fontId="31" fillId="0" borderId="0" xfId="51" applyFont="1"/>
    <xf numFmtId="0" fontId="31" fillId="0" borderId="18" xfId="66" applyFont="1" applyBorder="1" applyAlignment="1">
      <alignment horizontal="left" vertical="center" wrapText="1"/>
    </xf>
    <xf numFmtId="49" fontId="31" fillId="0" borderId="10" xfId="66" applyNumberFormat="1" applyFont="1" applyBorder="1" applyAlignment="1">
      <alignment horizontal="left" vertical="center" wrapText="1"/>
    </xf>
    <xf numFmtId="0" fontId="31" fillId="0" borderId="10" xfId="66" applyFont="1" applyBorder="1" applyAlignment="1">
      <alignment horizontal="center" vertical="center" wrapText="1"/>
    </xf>
    <xf numFmtId="3" fontId="31" fillId="0" borderId="10" xfId="66" applyNumberFormat="1" applyFont="1" applyBorder="1" applyAlignment="1">
      <alignment horizontal="right" vertical="center" wrapText="1"/>
    </xf>
    <xf numFmtId="3" fontId="31" fillId="0" borderId="19" xfId="66" applyNumberFormat="1" applyFont="1" applyBorder="1" applyAlignment="1">
      <alignment horizontal="right" vertical="center" wrapText="1"/>
    </xf>
    <xf numFmtId="3" fontId="31" fillId="0" borderId="0" xfId="51" applyNumberFormat="1" applyFont="1"/>
    <xf numFmtId="0" fontId="31" fillId="0" borderId="10" xfId="51" applyFont="1" applyBorder="1"/>
    <xf numFmtId="0" fontId="31" fillId="0" borderId="18" xfId="51" applyFont="1" applyBorder="1"/>
    <xf numFmtId="0" fontId="56" fillId="0" borderId="0" xfId="51" applyFont="1"/>
    <xf numFmtId="3" fontId="56" fillId="0" borderId="0" xfId="51" applyNumberFormat="1" applyFont="1"/>
    <xf numFmtId="0" fontId="31" fillId="0" borderId="18" xfId="66" applyFont="1" applyBorder="1"/>
    <xf numFmtId="49" fontId="31" fillId="0" borderId="10" xfId="66" applyNumberFormat="1" applyFont="1" applyBorder="1"/>
    <xf numFmtId="14" fontId="31" fillId="0" borderId="10" xfId="66" applyNumberFormat="1" applyFont="1" applyBorder="1" applyAlignment="1">
      <alignment horizontal="center"/>
    </xf>
    <xf numFmtId="3" fontId="31" fillId="0" borderId="10" xfId="66" applyNumberFormat="1" applyFont="1" applyBorder="1" applyAlignment="1">
      <alignment horizontal="right"/>
    </xf>
    <xf numFmtId="3" fontId="31" fillId="0" borderId="19" xfId="66" applyNumberFormat="1" applyFont="1" applyBorder="1"/>
    <xf numFmtId="0" fontId="57" fillId="0" borderId="18" xfId="66" applyFont="1" applyBorder="1"/>
    <xf numFmtId="49" fontId="57" fillId="0" borderId="10" xfId="66" applyNumberFormat="1" applyFont="1" applyBorder="1"/>
    <xf numFmtId="14" fontId="57" fillId="0" borderId="10" xfId="66" applyNumberFormat="1" applyFont="1" applyBorder="1" applyAlignment="1">
      <alignment horizontal="center"/>
    </xf>
    <xf numFmtId="3" fontId="57" fillId="0" borderId="10" xfId="66" applyNumberFormat="1" applyFont="1" applyBorder="1" applyAlignment="1">
      <alignment horizontal="right"/>
    </xf>
    <xf numFmtId="3" fontId="57" fillId="0" borderId="19" xfId="66" applyNumberFormat="1" applyFont="1" applyBorder="1"/>
    <xf numFmtId="49" fontId="31" fillId="0" borderId="10" xfId="66" applyNumberFormat="1" applyFont="1" applyBorder="1" applyAlignment="1">
      <alignment wrapText="1"/>
    </xf>
    <xf numFmtId="0" fontId="31" fillId="0" borderId="10" xfId="51" applyFont="1" applyBorder="1" applyAlignment="1">
      <alignment wrapText="1"/>
    </xf>
    <xf numFmtId="14" fontId="31" fillId="0" borderId="10" xfId="66" applyNumberFormat="1" applyFont="1" applyBorder="1" applyAlignment="1">
      <alignment horizontal="center" wrapText="1"/>
    </xf>
    <xf numFmtId="0" fontId="31" fillId="0" borderId="10" xfId="66" applyFont="1" applyBorder="1"/>
    <xf numFmtId="0" fontId="31" fillId="0" borderId="10" xfId="66" applyFont="1" applyBorder="1" applyAlignment="1">
      <alignment horizontal="center"/>
    </xf>
    <xf numFmtId="3" fontId="31" fillId="0" borderId="10" xfId="66" applyNumberFormat="1" applyFont="1" applyBorder="1"/>
    <xf numFmtId="0" fontId="31" fillId="0" borderId="18" xfId="66" applyFont="1" applyBorder="1" applyAlignment="1">
      <alignment horizontal="left"/>
    </xf>
    <xf numFmtId="0" fontId="31" fillId="0" borderId="10" xfId="66" applyFont="1" applyBorder="1" applyAlignment="1">
      <alignment horizontal="left"/>
    </xf>
    <xf numFmtId="3" fontId="31" fillId="0" borderId="10" xfId="66" applyNumberFormat="1" applyFont="1" applyBorder="1" applyAlignment="1">
      <alignment horizontal="right" vertical="center"/>
    </xf>
    <xf numFmtId="3" fontId="31" fillId="0" borderId="19" xfId="66" applyNumberFormat="1" applyFont="1" applyBorder="1" applyAlignment="1">
      <alignment horizontal="right" vertical="center"/>
    </xf>
    <xf numFmtId="3" fontId="33" fillId="0" borderId="0" xfId="51" applyNumberFormat="1" applyFont="1"/>
    <xf numFmtId="0" fontId="57" fillId="0" borderId="18" xfId="66" applyFont="1" applyBorder="1" applyAlignment="1">
      <alignment horizontal="left"/>
    </xf>
    <xf numFmtId="0" fontId="57" fillId="0" borderId="10" xfId="66" applyFont="1" applyBorder="1" applyAlignment="1">
      <alignment horizontal="left"/>
    </xf>
    <xf numFmtId="3" fontId="57" fillId="0" borderId="10" xfId="66" applyNumberFormat="1" applyFont="1" applyBorder="1" applyAlignment="1">
      <alignment horizontal="right" vertical="center"/>
    </xf>
    <xf numFmtId="3" fontId="57" fillId="0" borderId="19" xfId="66" applyNumberFormat="1" applyFont="1" applyBorder="1" applyAlignment="1">
      <alignment horizontal="right" vertical="center"/>
    </xf>
    <xf numFmtId="3" fontId="58" fillId="0" borderId="0" xfId="51" applyNumberFormat="1" applyFont="1"/>
    <xf numFmtId="3" fontId="31" fillId="0" borderId="19" xfId="51" applyNumberFormat="1" applyFont="1" applyBorder="1"/>
    <xf numFmtId="14" fontId="31" fillId="0" borderId="10" xfId="66" applyNumberFormat="1" applyFont="1" applyBorder="1" applyAlignment="1">
      <alignment horizontal="left"/>
    </xf>
    <xf numFmtId="0" fontId="31" fillId="0" borderId="0" xfId="51" applyFont="1" applyAlignment="1">
      <alignment horizontal="center"/>
    </xf>
    <xf numFmtId="3" fontId="31" fillId="0" borderId="19" xfId="66" applyNumberFormat="1" applyFont="1" applyBorder="1" applyAlignment="1">
      <alignment horizontal="right"/>
    </xf>
    <xf numFmtId="3" fontId="31" fillId="0" borderId="10" xfId="51" applyNumberFormat="1" applyFont="1" applyBorder="1"/>
    <xf numFmtId="49" fontId="31" fillId="0" borderId="10" xfId="51" applyNumberFormat="1" applyFont="1" applyBorder="1"/>
    <xf numFmtId="14" fontId="31" fillId="0" borderId="10" xfId="51" applyNumberFormat="1" applyFont="1" applyBorder="1" applyAlignment="1">
      <alignment horizontal="center"/>
    </xf>
    <xf numFmtId="49" fontId="31" fillId="0" borderId="0" xfId="51" applyNumberFormat="1" applyFont="1"/>
    <xf numFmtId="0" fontId="31" fillId="0" borderId="10" xfId="51" applyFont="1" applyBorder="1" applyAlignment="1">
      <alignment horizontal="left" wrapText="1"/>
    </xf>
    <xf numFmtId="49" fontId="56" fillId="0" borderId="0" xfId="51" applyNumberFormat="1" applyFont="1"/>
    <xf numFmtId="0" fontId="59" fillId="0" borderId="0" xfId="51" applyFont="1"/>
    <xf numFmtId="49" fontId="31" fillId="0" borderId="10" xfId="51" applyNumberFormat="1" applyFont="1" applyBorder="1" applyAlignment="1">
      <alignment wrapText="1"/>
    </xf>
    <xf numFmtId="0" fontId="31" fillId="0" borderId="18" xfId="51" applyFont="1" applyBorder="1" applyAlignment="1">
      <alignment vertical="center" wrapText="1"/>
    </xf>
    <xf numFmtId="49" fontId="31" fillId="0" borderId="18" xfId="51" applyNumberFormat="1" applyFont="1" applyBorder="1"/>
    <xf numFmtId="0" fontId="31" fillId="0" borderId="18" xfId="51" applyFont="1" applyBorder="1" applyAlignment="1">
      <alignment horizontal="left"/>
    </xf>
    <xf numFmtId="0" fontId="31" fillId="0" borderId="10" xfId="51" applyFont="1" applyBorder="1" applyAlignment="1">
      <alignment horizontal="left"/>
    </xf>
    <xf numFmtId="3" fontId="31" fillId="0" borderId="10" xfId="51" applyNumberFormat="1" applyFont="1" applyBorder="1" applyAlignment="1">
      <alignment horizontal="right"/>
    </xf>
    <xf numFmtId="3" fontId="56" fillId="0" borderId="0" xfId="66" applyNumberFormat="1" applyFont="1" applyAlignment="1">
      <alignment horizontal="right"/>
    </xf>
    <xf numFmtId="0" fontId="31" fillId="0" borderId="10" xfId="66" applyFont="1" applyBorder="1" applyAlignment="1">
      <alignment horizontal="left" wrapText="1"/>
    </xf>
    <xf numFmtId="0" fontId="31" fillId="0" borderId="18" xfId="51" applyFont="1" applyBorder="1" applyAlignment="1">
      <alignment wrapText="1"/>
    </xf>
    <xf numFmtId="0" fontId="57" fillId="0" borderId="18" xfId="51" applyFont="1" applyBorder="1" applyAlignment="1">
      <alignment horizontal="left"/>
    </xf>
    <xf numFmtId="0" fontId="57" fillId="0" borderId="10" xfId="51" applyFont="1" applyBorder="1" applyAlignment="1">
      <alignment horizontal="left"/>
    </xf>
    <xf numFmtId="14" fontId="57" fillId="0" borderId="10" xfId="51" applyNumberFormat="1" applyFont="1" applyBorder="1" applyAlignment="1">
      <alignment horizontal="center"/>
    </xf>
    <xf numFmtId="3" fontId="57" fillId="0" borderId="10" xfId="51" applyNumberFormat="1" applyFont="1" applyBorder="1" applyAlignment="1">
      <alignment horizontal="right"/>
    </xf>
    <xf numFmtId="3" fontId="57" fillId="0" borderId="19" xfId="51" applyNumberFormat="1" applyFont="1" applyBorder="1"/>
    <xf numFmtId="0" fontId="57" fillId="0" borderId="18" xfId="51" applyFont="1" applyBorder="1"/>
    <xf numFmtId="14" fontId="56" fillId="0" borderId="10" xfId="51" applyNumberFormat="1" applyFont="1" applyBorder="1" applyAlignment="1">
      <alignment horizontal="center"/>
    </xf>
    <xf numFmtId="0" fontId="31" fillId="0" borderId="18" xfId="68" applyFont="1" applyFill="1" applyBorder="1"/>
    <xf numFmtId="14" fontId="31" fillId="0" borderId="10" xfId="51" applyNumberFormat="1" applyFont="1" applyBorder="1" applyAlignment="1">
      <alignment horizontal="left" wrapText="1"/>
    </xf>
    <xf numFmtId="0" fontId="31" fillId="0" borderId="10" xfId="51" applyFont="1" applyBorder="1" applyAlignment="1">
      <alignment horizontal="center"/>
    </xf>
    <xf numFmtId="0" fontId="57" fillId="0" borderId="0" xfId="51" applyFont="1"/>
    <xf numFmtId="3" fontId="57" fillId="0" borderId="0" xfId="51" applyNumberFormat="1" applyFont="1"/>
    <xf numFmtId="14" fontId="57" fillId="0" borderId="10" xfId="66" applyNumberFormat="1" applyFont="1" applyBorder="1" applyAlignment="1">
      <alignment horizontal="center" wrapText="1"/>
    </xf>
    <xf numFmtId="0" fontId="34" fillId="0" borderId="39" xfId="66" applyFont="1" applyBorder="1" applyAlignment="1">
      <alignment horizontal="right"/>
    </xf>
    <xf numFmtId="3" fontId="34" fillId="0" borderId="39" xfId="66" applyNumberFormat="1" applyFont="1" applyBorder="1" applyAlignment="1">
      <alignment horizontal="right"/>
    </xf>
    <xf numFmtId="3" fontId="34" fillId="0" borderId="23" xfId="66" applyNumberFormat="1" applyFont="1" applyBorder="1" applyAlignment="1">
      <alignment horizontal="right"/>
    </xf>
    <xf numFmtId="0" fontId="47" fillId="0" borderId="0" xfId="51" applyFont="1"/>
    <xf numFmtId="3" fontId="47" fillId="0" borderId="0" xfId="51" applyNumberFormat="1" applyFont="1"/>
    <xf numFmtId="3" fontId="8" fillId="0" borderId="0" xfId="51" applyNumberFormat="1"/>
    <xf numFmtId="0" fontId="34" fillId="0" borderId="0" xfId="66" applyFont="1" applyAlignment="1">
      <alignment wrapText="1"/>
    </xf>
    <xf numFmtId="49" fontId="34" fillId="0" borderId="0" xfId="66" applyNumberFormat="1" applyFont="1" applyAlignment="1">
      <alignment wrapText="1"/>
    </xf>
    <xf numFmtId="0" fontId="34" fillId="0" borderId="0" xfId="66" applyFont="1" applyAlignment="1">
      <alignment horizontal="center"/>
    </xf>
    <xf numFmtId="3" fontId="34" fillId="0" borderId="0" xfId="66" applyNumberFormat="1" applyFont="1" applyAlignment="1">
      <alignment horizontal="right"/>
    </xf>
    <xf numFmtId="0" fontId="57" fillId="0" borderId="10" xfId="66" applyFont="1" applyBorder="1" applyAlignment="1">
      <alignment wrapText="1"/>
    </xf>
    <xf numFmtId="49" fontId="57" fillId="0" borderId="10" xfId="66" applyNumberFormat="1" applyFont="1" applyBorder="1" applyAlignment="1">
      <alignment wrapText="1"/>
    </xf>
    <xf numFmtId="0" fontId="57" fillId="0" borderId="10" xfId="66" applyFont="1" applyBorder="1" applyAlignment="1">
      <alignment horizontal="center"/>
    </xf>
    <xf numFmtId="165" fontId="57" fillId="0" borderId="10" xfId="66" applyNumberFormat="1" applyFont="1" applyBorder="1" applyAlignment="1">
      <alignment horizontal="right" wrapText="1"/>
    </xf>
    <xf numFmtId="3" fontId="57" fillId="0" borderId="10" xfId="66" applyNumberFormat="1" applyFont="1" applyBorder="1"/>
    <xf numFmtId="0" fontId="61" fillId="0" borderId="0" xfId="0" applyFont="1"/>
    <xf numFmtId="0" fontId="59" fillId="0" borderId="10" xfId="0" applyFont="1" applyBorder="1"/>
    <xf numFmtId="14" fontId="57" fillId="25" borderId="10" xfId="66" applyNumberFormat="1" applyFont="1" applyFill="1" applyBorder="1" applyAlignment="1">
      <alignment horizontal="center"/>
    </xf>
    <xf numFmtId="49" fontId="57" fillId="25" borderId="10" xfId="66" applyNumberFormat="1" applyFont="1" applyFill="1" applyBorder="1" applyAlignment="1">
      <alignment wrapText="1"/>
    </xf>
    <xf numFmtId="0" fontId="57" fillId="0" borderId="10" xfId="0" applyFont="1" applyBorder="1" applyAlignment="1">
      <alignment wrapText="1"/>
    </xf>
    <xf numFmtId="49" fontId="57" fillId="25" borderId="10" xfId="0" applyNumberFormat="1" applyFont="1" applyFill="1" applyBorder="1" applyAlignment="1">
      <alignment wrapText="1"/>
    </xf>
    <xf numFmtId="14" fontId="57" fillId="0" borderId="10" xfId="0" applyNumberFormat="1" applyFont="1" applyBorder="1" applyAlignment="1">
      <alignment horizontal="center" wrapText="1"/>
    </xf>
    <xf numFmtId="14" fontId="61" fillId="0" borderId="0" xfId="0" applyNumberFormat="1" applyFont="1"/>
    <xf numFmtId="0" fontId="57" fillId="25" borderId="10" xfId="66" applyFont="1" applyFill="1" applyBorder="1" applyAlignment="1">
      <alignment horizontal="center"/>
    </xf>
    <xf numFmtId="0" fontId="57" fillId="0" borderId="10" xfId="66" applyFont="1" applyBorder="1" applyAlignment="1">
      <alignment horizontal="left" wrapText="1"/>
    </xf>
    <xf numFmtId="165" fontId="57" fillId="25" borderId="10" xfId="66" applyNumberFormat="1" applyFont="1" applyFill="1" applyBorder="1" applyAlignment="1">
      <alignment horizontal="right" wrapText="1"/>
    </xf>
    <xf numFmtId="49" fontId="57" fillId="0" borderId="10" xfId="0" applyNumberFormat="1" applyFont="1" applyBorder="1" applyAlignment="1">
      <alignment wrapText="1"/>
    </xf>
    <xf numFmtId="14" fontId="57" fillId="0" borderId="10" xfId="0" applyNumberFormat="1" applyFont="1" applyBorder="1" applyAlignment="1">
      <alignment horizontal="center"/>
    </xf>
    <xf numFmtId="3" fontId="59" fillId="0" borderId="10" xfId="0" applyNumberFormat="1" applyFont="1" applyBorder="1" applyAlignment="1">
      <alignment horizontal="right"/>
    </xf>
    <xf numFmtId="0" fontId="31" fillId="0" borderId="10" xfId="0" applyFont="1" applyBorder="1" applyAlignment="1">
      <alignment wrapText="1"/>
    </xf>
    <xf numFmtId="49" fontId="31" fillId="0" borderId="10" xfId="0" applyNumberFormat="1" applyFont="1" applyBorder="1" applyAlignment="1">
      <alignment wrapText="1"/>
    </xf>
    <xf numFmtId="165" fontId="31" fillId="0" borderId="10" xfId="66" applyNumberFormat="1" applyFont="1" applyBorder="1" applyAlignment="1">
      <alignment horizontal="right" wrapText="1"/>
    </xf>
    <xf numFmtId="0" fontId="57" fillId="25" borderId="10" xfId="66" applyFont="1" applyFill="1" applyBorder="1" applyAlignment="1">
      <alignment wrapText="1"/>
    </xf>
    <xf numFmtId="49" fontId="57" fillId="25" borderId="10" xfId="66" applyNumberFormat="1" applyFont="1" applyFill="1" applyBorder="1" applyAlignment="1">
      <alignment horizontal="left" wrapText="1"/>
    </xf>
    <xf numFmtId="3" fontId="57" fillId="25" borderId="10" xfId="0" applyNumberFormat="1" applyFont="1" applyFill="1" applyBorder="1" applyAlignment="1">
      <alignment horizontal="right"/>
    </xf>
    <xf numFmtId="3" fontId="57" fillId="25" borderId="10" xfId="66" applyNumberFormat="1" applyFont="1" applyFill="1" applyBorder="1"/>
    <xf numFmtId="165" fontId="57" fillId="0" borderId="10" xfId="66" applyNumberFormat="1" applyFont="1" applyBorder="1" applyAlignment="1">
      <alignment horizontal="center" wrapText="1"/>
    </xf>
    <xf numFmtId="3" fontId="61" fillId="0" borderId="0" xfId="0" applyNumberFormat="1" applyFont="1"/>
    <xf numFmtId="0" fontId="62" fillId="0" borderId="0" xfId="0" applyFont="1"/>
    <xf numFmtId="49" fontId="57" fillId="0" borderId="10" xfId="66" applyNumberFormat="1" applyFont="1" applyBorder="1" applyAlignment="1">
      <alignment horizontal="left" wrapText="1"/>
    </xf>
    <xf numFmtId="166" fontId="57" fillId="25" borderId="10" xfId="66" applyNumberFormat="1" applyFont="1" applyFill="1" applyBorder="1" applyAlignment="1">
      <alignment horizontal="right" wrapText="1"/>
    </xf>
    <xf numFmtId="166" fontId="57" fillId="0" borderId="10" xfId="66" applyNumberFormat="1" applyFont="1" applyBorder="1" applyAlignment="1">
      <alignment horizontal="right" wrapText="1"/>
    </xf>
    <xf numFmtId="0" fontId="57" fillId="0" borderId="10" xfId="66" applyFont="1" applyBorder="1" applyAlignment="1">
      <alignment horizontal="center" wrapText="1"/>
    </xf>
    <xf numFmtId="14" fontId="57" fillId="25" borderId="10" xfId="66" applyNumberFormat="1" applyFont="1" applyFill="1" applyBorder="1" applyAlignment="1">
      <alignment horizontal="center" wrapText="1"/>
    </xf>
    <xf numFmtId="49" fontId="57" fillId="0" borderId="46" xfId="66" applyNumberFormat="1" applyFont="1" applyBorder="1" applyAlignment="1">
      <alignment wrapText="1"/>
    </xf>
    <xf numFmtId="14" fontId="57" fillId="25" borderId="46" xfId="66" applyNumberFormat="1" applyFont="1" applyFill="1" applyBorder="1" applyAlignment="1">
      <alignment horizontal="center" wrapText="1"/>
    </xf>
    <xf numFmtId="165" fontId="57" fillId="25" borderId="46" xfId="66" applyNumberFormat="1" applyFont="1" applyFill="1" applyBorder="1" applyAlignment="1">
      <alignment horizontal="right" wrapText="1"/>
    </xf>
    <xf numFmtId="3" fontId="57" fillId="0" borderId="46" xfId="66" applyNumberFormat="1" applyFont="1" applyBorder="1"/>
    <xf numFmtId="0" fontId="34" fillId="0" borderId="39" xfId="66" applyFont="1" applyBorder="1" applyAlignment="1">
      <alignment horizontal="center" vertical="center"/>
    </xf>
    <xf numFmtId="165" fontId="34" fillId="0" borderId="39" xfId="66" applyNumberFormat="1" applyFont="1" applyBorder="1" applyAlignment="1">
      <alignment horizontal="right" wrapText="1"/>
    </xf>
    <xf numFmtId="14" fontId="31" fillId="0" borderId="0" xfId="66" applyNumberFormat="1" applyFont="1" applyAlignment="1">
      <alignment horizontal="center"/>
    </xf>
    <xf numFmtId="3" fontId="33" fillId="0" borderId="0" xfId="66" applyNumberFormat="1" applyFont="1"/>
    <xf numFmtId="3" fontId="33" fillId="0" borderId="0" xfId="66" applyNumberFormat="1" applyFont="1" applyAlignment="1">
      <alignment horizontal="right"/>
    </xf>
    <xf numFmtId="3" fontId="63" fillId="0" borderId="0" xfId="69" applyNumberFormat="1" applyFont="1"/>
    <xf numFmtId="0" fontId="9" fillId="0" borderId="0" xfId="69"/>
    <xf numFmtId="3" fontId="64" fillId="0" borderId="0" xfId="69" applyNumberFormat="1" applyFont="1" applyAlignment="1">
      <alignment horizontal="right"/>
    </xf>
    <xf numFmtId="3" fontId="37" fillId="0" borderId="0" xfId="69" applyNumberFormat="1" applyFont="1"/>
    <xf numFmtId="0" fontId="63" fillId="0" borderId="0" xfId="69" applyFont="1"/>
    <xf numFmtId="0" fontId="64" fillId="0" borderId="10" xfId="69" applyFont="1" applyBorder="1" applyAlignment="1">
      <alignment horizontal="left"/>
    </xf>
    <xf numFmtId="0" fontId="63" fillId="0" borderId="10" xfId="69" applyFont="1" applyBorder="1"/>
    <xf numFmtId="0" fontId="63" fillId="0" borderId="10" xfId="69" applyFont="1" applyBorder="1" applyAlignment="1">
      <alignment wrapText="1"/>
    </xf>
    <xf numFmtId="0" fontId="9" fillId="24" borderId="0" xfId="69" applyFill="1"/>
    <xf numFmtId="0" fontId="65" fillId="0" borderId="10" xfId="69" applyFont="1" applyBorder="1"/>
    <xf numFmtId="0" fontId="66" fillId="0" borderId="10" xfId="69" applyFont="1" applyBorder="1"/>
    <xf numFmtId="0" fontId="64" fillId="0" borderId="10" xfId="69" applyFont="1" applyBorder="1"/>
    <xf numFmtId="0" fontId="8" fillId="0" borderId="0" xfId="51" applyAlignment="1">
      <alignment horizontal="right"/>
    </xf>
    <xf numFmtId="0" fontId="67" fillId="0" borderId="0" xfId="51" applyFont="1" applyAlignment="1">
      <alignment horizontal="centerContinuous"/>
    </xf>
    <xf numFmtId="0" fontId="67" fillId="0" borderId="0" xfId="51" applyFont="1" applyAlignment="1">
      <alignment horizontal="center"/>
    </xf>
    <xf numFmtId="0" fontId="67" fillId="0" borderId="35" xfId="51" applyFont="1" applyBorder="1"/>
    <xf numFmtId="0" fontId="67" fillId="0" borderId="10" xfId="51" applyFont="1" applyBorder="1" applyAlignment="1">
      <alignment horizontal="center"/>
    </xf>
    <xf numFmtId="0" fontId="67" fillId="0" borderId="10" xfId="51" applyFont="1" applyBorder="1" applyAlignment="1">
      <alignment horizontal="center" wrapText="1"/>
    </xf>
    <xf numFmtId="0" fontId="68" fillId="0" borderId="35" xfId="51" applyFont="1" applyBorder="1"/>
    <xf numFmtId="0" fontId="68" fillId="0" borderId="10" xfId="51" applyFont="1" applyBorder="1" applyAlignment="1">
      <alignment horizontal="left"/>
    </xf>
    <xf numFmtId="3" fontId="68" fillId="0" borderId="10" xfId="51" applyNumberFormat="1" applyFont="1" applyBorder="1"/>
    <xf numFmtId="0" fontId="68" fillId="0" borderId="35" xfId="51" applyFont="1" applyBorder="1" applyAlignment="1">
      <alignment wrapText="1"/>
    </xf>
    <xf numFmtId="0" fontId="68" fillId="0" borderId="10" xfId="51" applyFont="1" applyBorder="1" applyAlignment="1">
      <alignment horizontal="left" wrapText="1"/>
    </xf>
    <xf numFmtId="3" fontId="68" fillId="0" borderId="10" xfId="51" applyNumberFormat="1" applyFont="1" applyBorder="1" applyAlignment="1">
      <alignment wrapText="1"/>
    </xf>
    <xf numFmtId="0" fontId="61" fillId="0" borderId="0" xfId="51" applyFont="1"/>
    <xf numFmtId="0" fontId="8" fillId="0" borderId="0" xfId="51" applyAlignment="1">
      <alignment horizontal="left" wrapText="1"/>
    </xf>
    <xf numFmtId="0" fontId="69" fillId="0" borderId="0" xfId="51" applyFont="1" applyAlignment="1">
      <alignment horizontal="left" wrapText="1"/>
    </xf>
    <xf numFmtId="0" fontId="69" fillId="0" borderId="0" xfId="51" applyFont="1" applyAlignment="1">
      <alignment wrapText="1"/>
    </xf>
    <xf numFmtId="0" fontId="61" fillId="0" borderId="10" xfId="51" applyFont="1" applyBorder="1"/>
    <xf numFmtId="0" fontId="8" fillId="0" borderId="10" xfId="51" applyBorder="1" applyAlignment="1">
      <alignment wrapText="1"/>
    </xf>
    <xf numFmtId="0" fontId="8" fillId="0" borderId="10" xfId="51" quotePrefix="1" applyBorder="1" applyAlignment="1">
      <alignment wrapText="1"/>
    </xf>
    <xf numFmtId="0" fontId="8" fillId="0" borderId="0" xfId="51" applyAlignment="1">
      <alignment wrapText="1"/>
    </xf>
    <xf numFmtId="0" fontId="8" fillId="0" borderId="46" xfId="51" applyBorder="1" applyAlignment="1">
      <alignment wrapText="1"/>
    </xf>
    <xf numFmtId="0" fontId="8" fillId="0" borderId="46" xfId="51" applyBorder="1"/>
    <xf numFmtId="0" fontId="52" fillId="0" borderId="0" xfId="70"/>
    <xf numFmtId="3" fontId="52" fillId="0" borderId="0" xfId="70" applyNumberFormat="1"/>
    <xf numFmtId="0" fontId="52" fillId="0" borderId="0" xfId="70" applyAlignment="1">
      <alignment horizontal="right"/>
    </xf>
    <xf numFmtId="0" fontId="50" fillId="0" borderId="0" xfId="70" applyFont="1" applyAlignment="1">
      <alignment horizontal="center"/>
    </xf>
    <xf numFmtId="0" fontId="50" fillId="0" borderId="0" xfId="70" applyFont="1" applyAlignment="1">
      <alignment horizontal="right"/>
    </xf>
    <xf numFmtId="0" fontId="52" fillId="0" borderId="10" xfId="70" applyBorder="1"/>
    <xf numFmtId="3" fontId="52" fillId="0" borderId="10" xfId="70" applyNumberFormat="1" applyBorder="1" applyAlignment="1">
      <alignment horizontal="center"/>
    </xf>
    <xf numFmtId="0" fontId="52" fillId="0" borderId="10" xfId="70" applyBorder="1" applyAlignment="1">
      <alignment horizontal="right"/>
    </xf>
    <xf numFmtId="0" fontId="50" fillId="0" borderId="10" xfId="70" applyFont="1" applyBorder="1"/>
    <xf numFmtId="3" fontId="52" fillId="0" borderId="10" xfId="70" applyNumberFormat="1" applyBorder="1"/>
    <xf numFmtId="3" fontId="49" fillId="0" borderId="10" xfId="70" applyNumberFormat="1" applyFont="1" applyBorder="1"/>
    <xf numFmtId="3" fontId="50" fillId="0" borderId="10" xfId="70" applyNumberFormat="1" applyFont="1" applyBorder="1"/>
    <xf numFmtId="0" fontId="50" fillId="0" borderId="0" xfId="70" applyFont="1"/>
    <xf numFmtId="3" fontId="50" fillId="0" borderId="0" xfId="70" applyNumberFormat="1" applyFont="1"/>
    <xf numFmtId="1" fontId="52" fillId="0" borderId="10" xfId="60" applyNumberFormat="1" applyFont="1" applyFill="1" applyBorder="1"/>
    <xf numFmtId="167" fontId="52" fillId="0" borderId="10" xfId="60" applyNumberFormat="1" applyFont="1" applyFill="1" applyBorder="1"/>
    <xf numFmtId="0" fontId="71" fillId="0" borderId="0" xfId="70" applyFont="1"/>
    <xf numFmtId="0" fontId="70" fillId="0" borderId="0" xfId="70" applyFont="1"/>
    <xf numFmtId="0" fontId="52" fillId="0" borderId="49" xfId="70" applyBorder="1"/>
    <xf numFmtId="0" fontId="52" fillId="0" borderId="50" xfId="70" applyBorder="1"/>
    <xf numFmtId="0" fontId="52" fillId="0" borderId="51" xfId="70" applyBorder="1"/>
    <xf numFmtId="0" fontId="52" fillId="0" borderId="52" xfId="70" applyBorder="1" applyAlignment="1">
      <alignment wrapText="1"/>
    </xf>
    <xf numFmtId="0" fontId="52" fillId="0" borderId="52" xfId="70" applyBorder="1" applyAlignment="1">
      <alignment horizontal="center" wrapText="1"/>
    </xf>
    <xf numFmtId="0" fontId="50" fillId="0" borderId="53" xfId="70" applyFont="1" applyBorder="1"/>
    <xf numFmtId="0" fontId="52" fillId="0" borderId="54" xfId="70" applyBorder="1" applyAlignment="1">
      <alignment wrapText="1"/>
    </xf>
    <xf numFmtId="0" fontId="52" fillId="0" borderId="51" xfId="70" applyBorder="1" applyAlignment="1">
      <alignment wrapText="1"/>
    </xf>
    <xf numFmtId="0" fontId="52" fillId="0" borderId="52" xfId="70" applyBorder="1"/>
    <xf numFmtId="0" fontId="52" fillId="0" borderId="55" xfId="70" applyBorder="1"/>
    <xf numFmtId="3" fontId="44" fillId="0" borderId="56" xfId="53" applyNumberFormat="1" applyFont="1" applyBorder="1"/>
    <xf numFmtId="0" fontId="72" fillId="0" borderId="33" xfId="70" applyFont="1" applyBorder="1"/>
    <xf numFmtId="0" fontId="72" fillId="0" borderId="13" xfId="70" applyFont="1" applyBorder="1"/>
    <xf numFmtId="3" fontId="52" fillId="0" borderId="35" xfId="70" applyNumberFormat="1" applyBorder="1"/>
    <xf numFmtId="3" fontId="52" fillId="0" borderId="18" xfId="70" applyNumberFormat="1" applyBorder="1"/>
    <xf numFmtId="3" fontId="52" fillId="0" borderId="13" xfId="70" applyNumberFormat="1" applyBorder="1"/>
    <xf numFmtId="3" fontId="52" fillId="0" borderId="57" xfId="70" applyNumberFormat="1" applyBorder="1"/>
    <xf numFmtId="0" fontId="73" fillId="0" borderId="58" xfId="70" applyFont="1" applyBorder="1"/>
    <xf numFmtId="0" fontId="73" fillId="0" borderId="33" xfId="70" applyFont="1" applyBorder="1"/>
    <xf numFmtId="0" fontId="73" fillId="0" borderId="13" xfId="70" applyFont="1" applyBorder="1"/>
    <xf numFmtId="0" fontId="73" fillId="0" borderId="59" xfId="70" applyFont="1" applyBorder="1"/>
    <xf numFmtId="0" fontId="73" fillId="0" borderId="60" xfId="70" applyFont="1" applyBorder="1"/>
    <xf numFmtId="0" fontId="73" fillId="0" borderId="61" xfId="70" applyFont="1" applyBorder="1"/>
    <xf numFmtId="3" fontId="52" fillId="0" borderId="62" xfId="70" applyNumberFormat="1" applyBorder="1"/>
    <xf numFmtId="3" fontId="52" fillId="0" borderId="63" xfId="70" applyNumberFormat="1" applyBorder="1"/>
    <xf numFmtId="3" fontId="52" fillId="0" borderId="64" xfId="70" applyNumberFormat="1" applyBorder="1"/>
    <xf numFmtId="3" fontId="52" fillId="0" borderId="61" xfId="70" applyNumberFormat="1" applyBorder="1"/>
    <xf numFmtId="3" fontId="52" fillId="0" borderId="65" xfId="70" applyNumberFormat="1" applyBorder="1"/>
    <xf numFmtId="3" fontId="52" fillId="0" borderId="69" xfId="70" applyNumberFormat="1" applyBorder="1"/>
    <xf numFmtId="3" fontId="52" fillId="0" borderId="70" xfId="70" applyNumberFormat="1" applyBorder="1"/>
    <xf numFmtId="3" fontId="52" fillId="0" borderId="68" xfId="70" applyNumberFormat="1" applyBorder="1"/>
    <xf numFmtId="0" fontId="68" fillId="0" borderId="0" xfId="51" applyFont="1" applyAlignment="1">
      <alignment horizontal="right"/>
    </xf>
    <xf numFmtId="0" fontId="3" fillId="0" borderId="0" xfId="71"/>
    <xf numFmtId="3" fontId="68" fillId="0" borderId="0" xfId="51" applyNumberFormat="1" applyFont="1" applyAlignment="1">
      <alignment horizontal="right"/>
    </xf>
    <xf numFmtId="0" fontId="68" fillId="0" borderId="0" xfId="51" applyFont="1" applyAlignment="1">
      <alignment horizontal="center"/>
    </xf>
    <xf numFmtId="3" fontId="68" fillId="0" borderId="0" xfId="51" applyNumberFormat="1" applyFont="1" applyAlignment="1">
      <alignment horizontal="center"/>
    </xf>
    <xf numFmtId="0" fontId="68" fillId="0" borderId="0" xfId="51" applyFont="1"/>
    <xf numFmtId="3" fontId="68" fillId="0" borderId="0" xfId="51" applyNumberFormat="1" applyFont="1"/>
    <xf numFmtId="0" fontId="67" fillId="0" borderId="0" xfId="51" applyFont="1"/>
    <xf numFmtId="3" fontId="67" fillId="0" borderId="0" xfId="51" applyNumberFormat="1" applyFont="1"/>
    <xf numFmtId="0" fontId="68" fillId="0" borderId="0" xfId="51" quotePrefix="1" applyFont="1"/>
    <xf numFmtId="0" fontId="38" fillId="0" borderId="0" xfId="53" applyFont="1" applyBorder="1"/>
    <xf numFmtId="0" fontId="31" fillId="0" borderId="0" xfId="72" applyFont="1" applyAlignment="1">
      <alignment horizontal="center" vertical="center"/>
    </xf>
    <xf numFmtId="0" fontId="74" fillId="0" borderId="0" xfId="51" applyFont="1"/>
    <xf numFmtId="0" fontId="33" fillId="0" borderId="0" xfId="72" applyFont="1" applyAlignment="1">
      <alignment horizontal="center"/>
    </xf>
    <xf numFmtId="0" fontId="33" fillId="0" borderId="0" xfId="72" applyFont="1"/>
    <xf numFmtId="3" fontId="31" fillId="0" borderId="0" xfId="72" applyNumberFormat="1" applyFont="1"/>
    <xf numFmtId="0" fontId="34" fillId="0" borderId="0" xfId="72" applyFont="1" applyAlignment="1">
      <alignment horizontal="center"/>
    </xf>
    <xf numFmtId="0" fontId="34" fillId="0" borderId="0" xfId="72" applyFont="1" applyAlignment="1">
      <alignment horizontal="center" vertical="center"/>
    </xf>
    <xf numFmtId="0" fontId="33" fillId="0" borderId="0" xfId="72" applyFont="1" applyAlignment="1">
      <alignment horizontal="right" vertical="center"/>
    </xf>
    <xf numFmtId="0" fontId="33" fillId="0" borderId="0" xfId="72" applyFont="1" applyAlignment="1">
      <alignment horizontal="center" vertical="center" wrapText="1"/>
    </xf>
    <xf numFmtId="0" fontId="33" fillId="0" borderId="0" xfId="72" applyFont="1" applyAlignment="1">
      <alignment horizontal="center" vertical="center"/>
    </xf>
    <xf numFmtId="3" fontId="33" fillId="0" borderId="0" xfId="72" applyNumberFormat="1" applyFont="1" applyAlignment="1">
      <alignment horizontal="center" vertical="center"/>
    </xf>
    <xf numFmtId="0" fontId="31" fillId="0" borderId="0" xfId="72" applyFont="1" applyAlignment="1">
      <alignment horizontal="center" vertical="center" wrapText="1"/>
    </xf>
    <xf numFmtId="0" fontId="31" fillId="0" borderId="0" xfId="72" applyFont="1" applyAlignment="1">
      <alignment horizontal="left" vertical="center"/>
    </xf>
    <xf numFmtId="0" fontId="32" fillId="0" borderId="0" xfId="72" applyFont="1" applyAlignment="1">
      <alignment horizontal="center" vertical="center" wrapText="1"/>
    </xf>
    <xf numFmtId="0" fontId="32" fillId="0" borderId="0" xfId="72" applyFont="1" applyAlignment="1">
      <alignment horizontal="left"/>
    </xf>
    <xf numFmtId="0" fontId="31" fillId="0" borderId="0" xfId="72" applyFont="1" applyAlignment="1">
      <alignment horizontal="right"/>
    </xf>
    <xf numFmtId="49" fontId="31" fillId="0" borderId="0" xfId="72" applyNumberFormat="1" applyFont="1" applyAlignment="1">
      <alignment horizontal="right" vertical="center"/>
    </xf>
    <xf numFmtId="0" fontId="31" fillId="0" borderId="71" xfId="72" applyFont="1" applyBorder="1" applyAlignment="1">
      <alignment horizontal="center" vertical="center"/>
    </xf>
    <xf numFmtId="0" fontId="33" fillId="0" borderId="71" xfId="72" applyFont="1" applyBorder="1" applyAlignment="1">
      <alignment horizontal="right"/>
    </xf>
    <xf numFmtId="0" fontId="33" fillId="0" borderId="71" xfId="72" applyFont="1" applyBorder="1" applyAlignment="1">
      <alignment horizontal="center" vertical="center"/>
    </xf>
    <xf numFmtId="3" fontId="33" fillId="0" borderId="71" xfId="72" applyNumberFormat="1" applyFont="1" applyBorder="1"/>
    <xf numFmtId="0" fontId="31" fillId="0" borderId="11" xfId="72" applyFont="1" applyBorder="1" applyAlignment="1">
      <alignment horizontal="center" vertical="center"/>
    </xf>
    <xf numFmtId="0" fontId="33" fillId="0" borderId="11" xfId="72" applyFont="1" applyBorder="1" applyAlignment="1">
      <alignment horizontal="right"/>
    </xf>
    <xf numFmtId="0" fontId="33" fillId="0" borderId="11" xfId="72" applyFont="1" applyBorder="1" applyAlignment="1">
      <alignment horizontal="center" vertical="center"/>
    </xf>
    <xf numFmtId="3" fontId="33" fillId="0" borderId="11" xfId="72" applyNumberFormat="1" applyFont="1" applyBorder="1"/>
    <xf numFmtId="0" fontId="33" fillId="0" borderId="0" xfId="72" applyFont="1" applyAlignment="1">
      <alignment horizontal="right"/>
    </xf>
    <xf numFmtId="3" fontId="33" fillId="0" borderId="0" xfId="72" applyNumberFormat="1" applyFont="1"/>
    <xf numFmtId="0" fontId="32" fillId="0" borderId="0" xfId="72" applyFont="1" applyAlignment="1">
      <alignment horizontal="center" vertical="center"/>
    </xf>
    <xf numFmtId="0" fontId="31" fillId="0" borderId="0" xfId="51" applyFont="1" applyAlignment="1">
      <alignment horizontal="right"/>
    </xf>
    <xf numFmtId="0" fontId="8" fillId="0" borderId="11" xfId="51" applyBorder="1"/>
    <xf numFmtId="0" fontId="33" fillId="0" borderId="11" xfId="51" applyFont="1" applyBorder="1" applyAlignment="1">
      <alignment horizontal="right"/>
    </xf>
    <xf numFmtId="0" fontId="33" fillId="0" borderId="0" xfId="51" applyFont="1" applyAlignment="1">
      <alignment horizontal="right"/>
    </xf>
    <xf numFmtId="0" fontId="58" fillId="0" borderId="0" xfId="72" applyFont="1" applyAlignment="1">
      <alignment horizontal="center" vertical="center"/>
    </xf>
    <xf numFmtId="3" fontId="58" fillId="0" borderId="0" xfId="72" applyNumberFormat="1" applyFont="1"/>
    <xf numFmtId="0" fontId="31" fillId="0" borderId="0" xfId="51" applyFont="1" applyAlignment="1">
      <alignment horizontal="left" vertical="center"/>
    </xf>
    <xf numFmtId="0" fontId="8" fillId="0" borderId="0" xfId="51" applyAlignment="1">
      <alignment horizontal="center"/>
    </xf>
    <xf numFmtId="0" fontId="31" fillId="0" borderId="0" xfId="51" applyFont="1" applyAlignment="1">
      <alignment horizontal="left"/>
    </xf>
    <xf numFmtId="0" fontId="32" fillId="0" borderId="0" xfId="51" applyFont="1" applyAlignment="1">
      <alignment horizontal="left"/>
    </xf>
    <xf numFmtId="0" fontId="32" fillId="0" borderId="0" xfId="51" applyFont="1" applyAlignment="1">
      <alignment horizontal="right"/>
    </xf>
    <xf numFmtId="3" fontId="31" fillId="0" borderId="0" xfId="72" applyNumberFormat="1" applyFont="1" applyAlignment="1">
      <alignment horizontal="right" vertical="center" wrapText="1"/>
    </xf>
    <xf numFmtId="0" fontId="31" fillId="0" borderId="0" xfId="72" applyFont="1" applyAlignment="1">
      <alignment horizontal="right" vertical="center"/>
    </xf>
    <xf numFmtId="3" fontId="33" fillId="0" borderId="11" xfId="72" applyNumberFormat="1" applyFont="1" applyBorder="1" applyAlignment="1">
      <alignment horizontal="right" vertical="center"/>
    </xf>
    <xf numFmtId="3" fontId="33" fillId="0" borderId="0" xfId="72" applyNumberFormat="1" applyFont="1" applyAlignment="1">
      <alignment horizontal="right" vertical="center"/>
    </xf>
    <xf numFmtId="0" fontId="68" fillId="0" borderId="0" xfId="72" applyFont="1" applyAlignment="1">
      <alignment horizontal="center" vertical="center"/>
    </xf>
    <xf numFmtId="0" fontId="67" fillId="0" borderId="0" xfId="72" applyFont="1" applyAlignment="1">
      <alignment horizontal="right"/>
    </xf>
    <xf numFmtId="3" fontId="67" fillId="0" borderId="0" xfId="72" applyNumberFormat="1" applyFont="1"/>
    <xf numFmtId="0" fontId="31" fillId="0" borderId="0" xfId="72" applyFont="1"/>
    <xf numFmtId="3" fontId="34" fillId="0" borderId="0" xfId="72" applyNumberFormat="1" applyFont="1" applyAlignment="1">
      <alignment horizontal="center"/>
    </xf>
    <xf numFmtId="3" fontId="34" fillId="0" borderId="0" xfId="72" applyNumberFormat="1" applyFont="1"/>
    <xf numFmtId="49" fontId="31" fillId="0" borderId="0" xfId="72" applyNumberFormat="1" applyFont="1" applyAlignment="1">
      <alignment horizontal="right" vertical="center" wrapText="1"/>
    </xf>
    <xf numFmtId="0" fontId="69" fillId="0" borderId="0" xfId="51" applyFont="1"/>
    <xf numFmtId="49" fontId="33" fillId="0" borderId="11" xfId="72" applyNumberFormat="1" applyFont="1" applyBorder="1" applyAlignment="1">
      <alignment horizontal="right" vertical="center"/>
    </xf>
    <xf numFmtId="49" fontId="33" fillId="0" borderId="0" xfId="72" applyNumberFormat="1" applyFont="1" applyAlignment="1">
      <alignment horizontal="right" vertical="center"/>
    </xf>
    <xf numFmtId="0" fontId="75" fillId="0" borderId="11" xfId="51" applyFont="1" applyBorder="1"/>
    <xf numFmtId="0" fontId="31" fillId="0" borderId="0" xfId="51" applyFont="1" applyAlignment="1">
      <alignment horizontal="right" wrapText="1"/>
    </xf>
    <xf numFmtId="3" fontId="76" fillId="0" borderId="30" xfId="53" applyNumberFormat="1" applyFont="1" applyBorder="1"/>
    <xf numFmtId="3" fontId="76" fillId="0" borderId="10" xfId="53" applyNumberFormat="1" applyFont="1" applyBorder="1"/>
    <xf numFmtId="3" fontId="76" fillId="0" borderId="33" xfId="53" applyNumberFormat="1" applyFont="1" applyBorder="1"/>
    <xf numFmtId="0" fontId="44" fillId="0" borderId="0" xfId="59" applyFont="1" applyAlignment="1">
      <alignment wrapText="1"/>
    </xf>
    <xf numFmtId="0" fontId="44" fillId="0" borderId="0" xfId="59" applyFont="1"/>
    <xf numFmtId="0" fontId="44" fillId="0" borderId="0" xfId="51" applyFont="1"/>
    <xf numFmtId="0" fontId="46" fillId="0" borderId="10" xfId="59" applyFont="1" applyBorder="1" applyAlignment="1">
      <alignment wrapText="1"/>
    </xf>
    <xf numFmtId="3" fontId="46" fillId="0" borderId="10" xfId="59" applyNumberFormat="1" applyFont="1" applyBorder="1" applyAlignment="1">
      <alignment horizontal="right"/>
    </xf>
    <xf numFmtId="0" fontId="44" fillId="0" borderId="10" xfId="59" applyFont="1" applyBorder="1"/>
    <xf numFmtId="0" fontId="44" fillId="0" borderId="10" xfId="51" applyFont="1" applyBorder="1"/>
    <xf numFmtId="0" fontId="46" fillId="0" borderId="10" xfId="59" applyFont="1" applyBorder="1" applyAlignment="1">
      <alignment vertical="center"/>
    </xf>
    <xf numFmtId="0" fontId="44" fillId="0" borderId="10" xfId="59" applyFont="1" applyBorder="1" applyAlignment="1">
      <alignment horizontal="center" vertical="center"/>
    </xf>
    <xf numFmtId="0" fontId="44" fillId="0" borderId="10" xfId="59" applyFont="1" applyBorder="1" applyAlignment="1">
      <alignment vertical="center"/>
    </xf>
    <xf numFmtId="3" fontId="44" fillId="0" borderId="10" xfId="59" applyNumberFormat="1" applyFont="1" applyBorder="1" applyAlignment="1">
      <alignment horizontal="center"/>
    </xf>
    <xf numFmtId="0" fontId="44" fillId="0" borderId="10" xfId="59" applyFont="1" applyBorder="1" applyAlignment="1">
      <alignment horizontal="center"/>
    </xf>
    <xf numFmtId="0" fontId="44" fillId="0" borderId="10" xfId="59" applyFont="1" applyBorder="1" applyAlignment="1">
      <alignment horizontal="center" wrapText="1"/>
    </xf>
    <xf numFmtId="0" fontId="44" fillId="0" borderId="10" xfId="59" applyFont="1" applyBorder="1" applyAlignment="1">
      <alignment wrapText="1"/>
    </xf>
    <xf numFmtId="3" fontId="44" fillId="0" borderId="10" xfId="59" applyNumberFormat="1" applyFont="1" applyBorder="1"/>
    <xf numFmtId="3" fontId="44" fillId="0" borderId="10" xfId="51" applyNumberFormat="1" applyFont="1" applyBorder="1"/>
    <xf numFmtId="0" fontId="44" fillId="0" borderId="10" xfId="59" applyFont="1" applyBorder="1" applyAlignment="1">
      <alignment vertical="center" wrapText="1"/>
    </xf>
    <xf numFmtId="0" fontId="44" fillId="0" borderId="10" xfId="51" applyFont="1" applyBorder="1" applyAlignment="1">
      <alignment wrapText="1"/>
    </xf>
    <xf numFmtId="0" fontId="43" fillId="0" borderId="10" xfId="51" applyFont="1" applyBorder="1" applyAlignment="1">
      <alignment wrapText="1"/>
    </xf>
    <xf numFmtId="3" fontId="46" fillId="0" borderId="10" xfId="59" applyNumberFormat="1" applyFont="1" applyBorder="1"/>
    <xf numFmtId="0" fontId="46" fillId="0" borderId="10" xfId="51" applyFont="1" applyBorder="1"/>
    <xf numFmtId="3" fontId="46" fillId="0" borderId="10" xfId="51" applyNumberFormat="1" applyFont="1" applyBorder="1"/>
    <xf numFmtId="3" fontId="44" fillId="0" borderId="10" xfId="59" applyNumberFormat="1" applyFont="1" applyBorder="1" applyAlignment="1">
      <alignment vertical="center"/>
    </xf>
    <xf numFmtId="0" fontId="45" fillId="0" borderId="10" xfId="59" applyFont="1" applyBorder="1" applyAlignment="1">
      <alignment wrapText="1"/>
    </xf>
    <xf numFmtId="3" fontId="45" fillId="0" borderId="10" xfId="51" applyNumberFormat="1" applyFont="1" applyBorder="1"/>
    <xf numFmtId="3" fontId="63" fillId="0" borderId="0" xfId="69" applyNumberFormat="1" applyFont="1" applyAlignment="1">
      <alignment horizontal="right"/>
    </xf>
    <xf numFmtId="3" fontId="64" fillId="0" borderId="10" xfId="69" applyNumberFormat="1" applyFont="1" applyBorder="1" applyAlignment="1">
      <alignment horizontal="right"/>
    </xf>
    <xf numFmtId="3" fontId="39" fillId="0" borderId="10" xfId="69" applyNumberFormat="1" applyFont="1" applyBorder="1" applyAlignment="1">
      <alignment horizontal="right"/>
    </xf>
    <xf numFmtId="3" fontId="63" fillId="0" borderId="10" xfId="69" applyNumberFormat="1" applyFont="1" applyBorder="1"/>
    <xf numFmtId="3" fontId="66" fillId="0" borderId="10" xfId="69" applyNumberFormat="1" applyFont="1" applyBorder="1"/>
    <xf numFmtId="3" fontId="64" fillId="0" borderId="10" xfId="69" applyNumberFormat="1" applyFont="1" applyBorder="1"/>
    <xf numFmtId="0" fontId="49" fillId="0" borderId="10" xfId="70" applyFont="1" applyBorder="1"/>
    <xf numFmtId="0" fontId="49" fillId="0" borderId="10" xfId="70" applyFont="1" applyBorder="1" applyAlignment="1">
      <alignment wrapText="1"/>
    </xf>
    <xf numFmtId="0" fontId="52" fillId="0" borderId="10" xfId="70" applyBorder="1" applyAlignment="1">
      <alignment wrapText="1"/>
    </xf>
    <xf numFmtId="168" fontId="52" fillId="0" borderId="0" xfId="70" applyNumberFormat="1"/>
    <xf numFmtId="170" fontId="52" fillId="0" borderId="0" xfId="70" applyNumberFormat="1"/>
    <xf numFmtId="0" fontId="77" fillId="0" borderId="0" xfId="51" applyFont="1"/>
    <xf numFmtId="0" fontId="27" fillId="0" borderId="10" xfId="75" applyFont="1" applyBorder="1" applyAlignment="1">
      <alignment horizontal="center" vertical="center" wrapText="1"/>
    </xf>
    <xf numFmtId="0" fontId="27" fillId="0" borderId="10" xfId="51" applyFont="1" applyBorder="1" applyAlignment="1">
      <alignment horizontal="center" vertical="center" wrapText="1"/>
    </xf>
    <xf numFmtId="0" fontId="27" fillId="0" borderId="10" xfId="75" applyFont="1" applyBorder="1"/>
    <xf numFmtId="0" fontId="27" fillId="0" borderId="10" xfId="75" applyFont="1" applyBorder="1" applyAlignment="1">
      <alignment horizontal="right"/>
    </xf>
    <xf numFmtId="0" fontId="27" fillId="0" borderId="10" xfId="51" applyFont="1" applyBorder="1"/>
    <xf numFmtId="0" fontId="78" fillId="0" borderId="10" xfId="75" applyFont="1" applyBorder="1"/>
    <xf numFmtId="0" fontId="78" fillId="0" borderId="10" xfId="51" applyFont="1" applyBorder="1"/>
    <xf numFmtId="2" fontId="78" fillId="0" borderId="10" xfId="75" applyNumberFormat="1" applyFont="1" applyBorder="1"/>
    <xf numFmtId="3" fontId="37" fillId="0" borderId="0" xfId="53" applyNumberFormat="1" applyFont="1" applyBorder="1"/>
    <xf numFmtId="0" fontId="37" fillId="0" borderId="72" xfId="53" applyFont="1" applyBorder="1" applyAlignment="1">
      <alignment horizontal="center" wrapText="1"/>
    </xf>
    <xf numFmtId="3" fontId="37" fillId="0" borderId="73" xfId="53" applyNumberFormat="1" applyFont="1" applyBorder="1" applyAlignment="1">
      <alignment horizontal="right"/>
    </xf>
    <xf numFmtId="0" fontId="39" fillId="0" borderId="16" xfId="53" applyFont="1" applyBorder="1"/>
    <xf numFmtId="0" fontId="39" fillId="0" borderId="74" xfId="53" applyFont="1" applyBorder="1"/>
    <xf numFmtId="3" fontId="37" fillId="0" borderId="19" xfId="53" applyNumberFormat="1" applyFont="1" applyBorder="1"/>
    <xf numFmtId="3" fontId="37" fillId="0" borderId="13" xfId="53" applyNumberFormat="1" applyFont="1" applyBorder="1"/>
    <xf numFmtId="3" fontId="39" fillId="0" borderId="19" xfId="53" applyNumberFormat="1" applyFont="1" applyBorder="1"/>
    <xf numFmtId="3" fontId="38" fillId="0" borderId="19" xfId="53" applyNumberFormat="1" applyFont="1" applyBorder="1"/>
    <xf numFmtId="3" fontId="39" fillId="0" borderId="19" xfId="53" applyNumberFormat="1" applyFont="1" applyBorder="1" applyAlignment="1">
      <alignment wrapText="1"/>
    </xf>
    <xf numFmtId="3" fontId="37" fillId="0" borderId="19" xfId="53" applyNumberFormat="1" applyFont="1" applyBorder="1" applyAlignment="1">
      <alignment wrapText="1"/>
    </xf>
    <xf numFmtId="3" fontId="40" fillId="0" borderId="19" xfId="53" applyNumberFormat="1" applyFont="1" applyBorder="1" applyAlignment="1">
      <alignment wrapText="1"/>
    </xf>
    <xf numFmtId="3" fontId="38" fillId="0" borderId="19" xfId="53" applyNumberFormat="1" applyFont="1" applyBorder="1" applyAlignment="1">
      <alignment wrapText="1"/>
    </xf>
    <xf numFmtId="3" fontId="40" fillId="0" borderId="13" xfId="53" applyNumberFormat="1" applyFont="1" applyBorder="1"/>
    <xf numFmtId="3" fontId="38" fillId="0" borderId="34" xfId="53" applyNumberFormat="1" applyFont="1" applyBorder="1"/>
    <xf numFmtId="3" fontId="38" fillId="0" borderId="34" xfId="53" applyNumberFormat="1" applyFont="1" applyBorder="1" applyAlignment="1">
      <alignment wrapText="1"/>
    </xf>
    <xf numFmtId="3" fontId="40" fillId="0" borderId="34" xfId="53" applyNumberFormat="1" applyFont="1" applyBorder="1" applyAlignment="1">
      <alignment wrapText="1"/>
    </xf>
    <xf numFmtId="0" fontId="27" fillId="0" borderId="18" xfId="53" applyFont="1" applyBorder="1"/>
    <xf numFmtId="3" fontId="27" fillId="0" borderId="34" xfId="53" applyNumberFormat="1" applyFont="1" applyBorder="1"/>
    <xf numFmtId="3" fontId="39" fillId="0" borderId="34" xfId="53" applyNumberFormat="1" applyFont="1" applyBorder="1" applyAlignment="1">
      <alignment wrapText="1"/>
    </xf>
    <xf numFmtId="3" fontId="39" fillId="0" borderId="34" xfId="53" applyNumberFormat="1" applyFont="1" applyBorder="1"/>
    <xf numFmtId="3" fontId="39" fillId="0" borderId="34" xfId="51" applyNumberFormat="1" applyFont="1" applyBorder="1"/>
    <xf numFmtId="3" fontId="37" fillId="0" borderId="34" xfId="53" applyNumberFormat="1" applyFont="1" applyBorder="1" applyAlignment="1">
      <alignment vertical="top" wrapText="1"/>
    </xf>
    <xf numFmtId="3" fontId="39" fillId="0" borderId="23" xfId="53" applyNumberFormat="1" applyFont="1" applyBorder="1"/>
    <xf numFmtId="0" fontId="27" fillId="0" borderId="75" xfId="53" applyFont="1" applyBorder="1" applyAlignment="1">
      <alignment horizontal="right"/>
    </xf>
    <xf numFmtId="0" fontId="37" fillId="0" borderId="75" xfId="53" applyFont="1" applyBorder="1"/>
    <xf numFmtId="0" fontId="27" fillId="0" borderId="75" xfId="53" applyFont="1" applyBorder="1"/>
    <xf numFmtId="0" fontId="36" fillId="0" borderId="0" xfId="0" applyFont="1"/>
    <xf numFmtId="3" fontId="37" fillId="0" borderId="30" xfId="53" applyNumberFormat="1" applyFont="1" applyBorder="1" applyAlignment="1">
      <alignment horizontal="right"/>
    </xf>
    <xf numFmtId="3" fontId="37" fillId="0" borderId="10" xfId="53" applyNumberFormat="1" applyFont="1" applyBorder="1" applyAlignment="1">
      <alignment horizontal="right"/>
    </xf>
    <xf numFmtId="3" fontId="37" fillId="0" borderId="33" xfId="53" applyNumberFormat="1" applyFont="1" applyBorder="1" applyAlignment="1">
      <alignment horizontal="right"/>
    </xf>
    <xf numFmtId="0" fontId="37" fillId="0" borderId="76" xfId="53" applyFont="1" applyBorder="1"/>
    <xf numFmtId="169" fontId="31" fillId="0" borderId="0" xfId="76" applyNumberFormat="1" applyFont="1" applyFill="1"/>
    <xf numFmtId="3" fontId="37" fillId="0" borderId="77" xfId="53" applyNumberFormat="1" applyFont="1" applyBorder="1" applyAlignment="1">
      <alignment horizontal="right"/>
    </xf>
    <xf numFmtId="3" fontId="37" fillId="0" borderId="47" xfId="53" applyNumberFormat="1" applyFont="1" applyBorder="1" applyAlignment="1">
      <alignment horizontal="center" wrapText="1"/>
    </xf>
    <xf numFmtId="0" fontId="37" fillId="0" borderId="47" xfId="53" applyFont="1" applyBorder="1" applyAlignment="1">
      <alignment horizontal="center" wrapText="1"/>
    </xf>
    <xf numFmtId="0" fontId="37" fillId="0" borderId="78" xfId="53" applyFont="1" applyBorder="1" applyAlignment="1">
      <alignment horizontal="center" wrapText="1"/>
    </xf>
    <xf numFmtId="3" fontId="39" fillId="0" borderId="18" xfId="53" applyNumberFormat="1" applyFont="1" applyBorder="1"/>
    <xf numFmtId="3" fontId="38" fillId="0" borderId="18" xfId="53" applyNumberFormat="1" applyFont="1" applyBorder="1"/>
    <xf numFmtId="3" fontId="39" fillId="0" borderId="18" xfId="53" applyNumberFormat="1" applyFont="1" applyBorder="1" applyAlignment="1">
      <alignment wrapText="1"/>
    </xf>
    <xf numFmtId="3" fontId="37" fillId="0" borderId="18" xfId="53" applyNumberFormat="1" applyFont="1" applyBorder="1" applyAlignment="1">
      <alignment wrapText="1"/>
    </xf>
    <xf numFmtId="3" fontId="40" fillId="0" borderId="18" xfId="53" applyNumberFormat="1" applyFont="1" applyBorder="1" applyAlignment="1">
      <alignment wrapText="1"/>
    </xf>
    <xf numFmtId="3" fontId="38" fillId="0" borderId="18" xfId="53" applyNumberFormat="1" applyFont="1" applyBorder="1" applyAlignment="1">
      <alignment wrapText="1"/>
    </xf>
    <xf numFmtId="3" fontId="27" fillId="0" borderId="18" xfId="53" applyNumberFormat="1" applyFont="1" applyBorder="1"/>
    <xf numFmtId="3" fontId="27" fillId="0" borderId="19" xfId="53" applyNumberFormat="1" applyFont="1" applyBorder="1"/>
    <xf numFmtId="3" fontId="39" fillId="0" borderId="18" xfId="51" applyNumberFormat="1" applyFont="1" applyBorder="1"/>
    <xf numFmtId="3" fontId="39" fillId="0" borderId="19" xfId="51" applyNumberFormat="1" applyFont="1" applyBorder="1"/>
    <xf numFmtId="3" fontId="37" fillId="0" borderId="18" xfId="53" applyNumberFormat="1" applyFont="1" applyBorder="1" applyAlignment="1">
      <alignment vertical="top" wrapText="1"/>
    </xf>
    <xf numFmtId="3" fontId="37" fillId="0" borderId="19" xfId="53" applyNumberFormat="1" applyFont="1" applyBorder="1" applyAlignment="1">
      <alignment vertical="top" wrapText="1"/>
    </xf>
    <xf numFmtId="3" fontId="39" fillId="0" borderId="21" xfId="53" applyNumberFormat="1" applyFont="1" applyBorder="1"/>
    <xf numFmtId="3" fontId="39" fillId="0" borderId="26" xfId="53" applyNumberFormat="1" applyFont="1" applyBorder="1"/>
    <xf numFmtId="3" fontId="39" fillId="0" borderId="31" xfId="53" applyNumberFormat="1" applyFont="1" applyBorder="1"/>
    <xf numFmtId="3" fontId="39" fillId="0" borderId="79" xfId="53" applyNumberFormat="1" applyFont="1" applyBorder="1"/>
    <xf numFmtId="3" fontId="39" fillId="0" borderId="34" xfId="53" applyNumberFormat="1" applyFont="1" applyBorder="1" applyAlignment="1">
      <alignment horizontal="right"/>
    </xf>
    <xf numFmtId="3" fontId="40" fillId="0" borderId="34" xfId="53" applyNumberFormat="1" applyFont="1" applyBorder="1"/>
    <xf numFmtId="3" fontId="76" fillId="0" borderId="34" xfId="53" applyNumberFormat="1" applyFont="1" applyBorder="1"/>
    <xf numFmtId="3" fontId="37" fillId="0" borderId="34" xfId="53" applyNumberFormat="1" applyFont="1" applyBorder="1" applyAlignment="1">
      <alignment horizontal="right"/>
    </xf>
    <xf numFmtId="3" fontId="39" fillId="0" borderId="38" xfId="53" applyNumberFormat="1" applyFont="1" applyBorder="1"/>
    <xf numFmtId="1" fontId="39" fillId="0" borderId="40" xfId="53" applyNumberFormat="1" applyFont="1" applyBorder="1" applyAlignment="1">
      <alignment horizontal="center" wrapText="1"/>
    </xf>
    <xf numFmtId="0" fontId="8" fillId="0" borderId="40" xfId="51" applyBorder="1" applyAlignment="1">
      <alignment horizontal="center" wrapText="1"/>
    </xf>
    <xf numFmtId="0" fontId="8" fillId="0" borderId="36" xfId="51" applyBorder="1" applyAlignment="1">
      <alignment horizontal="center" wrapText="1"/>
    </xf>
    <xf numFmtId="1" fontId="39" fillId="0" borderId="37" xfId="53" applyNumberFormat="1" applyFont="1" applyBorder="1" applyAlignment="1">
      <alignment horizontal="center" wrapText="1"/>
    </xf>
    <xf numFmtId="0" fontId="31" fillId="0" borderId="35" xfId="53" applyFont="1" applyBorder="1" applyAlignment="1">
      <alignment horizontal="center" vertical="center" wrapText="1"/>
    </xf>
    <xf numFmtId="0" fontId="31" fillId="0" borderId="13" xfId="53" applyFont="1" applyBorder="1" applyAlignment="1">
      <alignment horizontal="center" vertical="center" wrapText="1"/>
    </xf>
    <xf numFmtId="0" fontId="33" fillId="0" borderId="35" xfId="53" applyFont="1" applyBorder="1" applyAlignment="1">
      <alignment horizontal="center" vertical="center" wrapText="1"/>
    </xf>
    <xf numFmtId="0" fontId="33" fillId="0" borderId="13" xfId="53" applyFont="1" applyBorder="1" applyAlignment="1">
      <alignment horizontal="center" vertical="center" wrapText="1"/>
    </xf>
    <xf numFmtId="0" fontId="34" fillId="0" borderId="0" xfId="53" applyFont="1" applyBorder="1" applyAlignment="1">
      <alignment horizontal="center" wrapText="1"/>
    </xf>
    <xf numFmtId="0" fontId="8" fillId="0" borderId="0" xfId="52"/>
    <xf numFmtId="0" fontId="27" fillId="0" borderId="0" xfId="74" applyFont="1" applyAlignment="1">
      <alignment horizontal="center"/>
    </xf>
    <xf numFmtId="0" fontId="27" fillId="0" borderId="10" xfId="75" applyFont="1" applyBorder="1" applyAlignment="1">
      <alignment horizontal="center"/>
    </xf>
    <xf numFmtId="0" fontId="78" fillId="0" borderId="10" xfId="75" applyFont="1" applyBorder="1" applyAlignment="1">
      <alignment horizontal="center"/>
    </xf>
    <xf numFmtId="0" fontId="45" fillId="0" borderId="0" xfId="59" applyFont="1" applyAlignment="1">
      <alignment horizontal="center" wrapText="1"/>
    </xf>
    <xf numFmtId="0" fontId="45" fillId="0" borderId="0" xfId="59" applyFont="1" applyAlignment="1">
      <alignment horizontal="center" vertical="center" wrapText="1"/>
    </xf>
    <xf numFmtId="0" fontId="50" fillId="0" borderId="0" xfId="51" applyFont="1" applyAlignment="1">
      <alignment horizontal="center"/>
    </xf>
    <xf numFmtId="0" fontId="50" fillId="0" borderId="46" xfId="51" applyFont="1" applyBorder="1" applyAlignment="1">
      <alignment horizontal="center" vertical="center"/>
    </xf>
    <xf numFmtId="0" fontId="50" fillId="0" borderId="12" xfId="51" applyFont="1" applyBorder="1" applyAlignment="1">
      <alignment horizontal="center" vertical="center"/>
    </xf>
    <xf numFmtId="0" fontId="50" fillId="0" borderId="46" xfId="51" applyFont="1" applyBorder="1" applyAlignment="1">
      <alignment horizontal="center" vertical="center" wrapText="1"/>
    </xf>
    <xf numFmtId="0" fontId="50" fillId="0" borderId="12" xfId="51" applyFont="1" applyBorder="1" applyAlignment="1">
      <alignment horizontal="center" vertical="center" wrapText="1"/>
    </xf>
    <xf numFmtId="0" fontId="51" fillId="0" borderId="10" xfId="51" applyFont="1" applyBorder="1" applyAlignment="1">
      <alignment horizontal="center"/>
    </xf>
    <xf numFmtId="3" fontId="50" fillId="0" borderId="46" xfId="51" applyNumberFormat="1" applyFont="1" applyBorder="1" applyAlignment="1">
      <alignment horizontal="center" vertical="center" wrapText="1"/>
    </xf>
    <xf numFmtId="3" fontId="50" fillId="0" borderId="12" xfId="51" applyNumberFormat="1" applyFont="1" applyBorder="1" applyAlignment="1">
      <alignment horizontal="center" vertical="center"/>
    </xf>
    <xf numFmtId="0" fontId="50" fillId="0" borderId="10" xfId="51" applyFont="1" applyBorder="1" applyAlignment="1">
      <alignment horizontal="center" vertical="center"/>
    </xf>
    <xf numFmtId="0" fontId="50" fillId="0" borderId="10" xfId="51" applyFont="1" applyBorder="1" applyAlignment="1">
      <alignment horizontal="center" vertical="center" wrapText="1"/>
    </xf>
    <xf numFmtId="0" fontId="0" fillId="0" borderId="0" xfId="0" applyAlignment="1">
      <alignment horizontal="center"/>
    </xf>
    <xf numFmtId="0" fontId="37" fillId="0" borderId="0" xfId="53" applyFont="1" applyBorder="1" applyAlignment="1">
      <alignment horizontal="right"/>
    </xf>
    <xf numFmtId="0" fontId="51" fillId="0" borderId="0" xfId="66" applyFont="1" applyAlignment="1">
      <alignment horizontal="center"/>
    </xf>
    <xf numFmtId="0" fontId="34" fillId="0" borderId="21" xfId="66" applyFont="1" applyBorder="1" applyAlignment="1">
      <alignment horizontal="right"/>
    </xf>
    <xf numFmtId="0" fontId="34" fillId="0" borderId="39" xfId="66" applyFont="1" applyBorder="1" applyAlignment="1">
      <alignment horizontal="right"/>
    </xf>
    <xf numFmtId="0" fontId="78" fillId="0" borderId="0" xfId="66" applyFont="1" applyAlignment="1">
      <alignment horizontal="center"/>
    </xf>
    <xf numFmtId="0" fontId="34" fillId="0" borderId="15" xfId="66" applyFont="1" applyBorder="1" applyAlignment="1">
      <alignment horizontal="center" vertical="center" wrapText="1"/>
    </xf>
    <xf numFmtId="0" fontId="34" fillId="0" borderId="21" xfId="66" applyFont="1" applyBorder="1" applyAlignment="1">
      <alignment horizontal="center" vertical="center" wrapText="1"/>
    </xf>
    <xf numFmtId="49" fontId="34" fillId="0" borderId="31" xfId="66" applyNumberFormat="1" applyFont="1" applyBorder="1" applyAlignment="1">
      <alignment horizontal="center" vertical="center" wrapText="1"/>
    </xf>
    <xf numFmtId="49" fontId="34" fillId="0" borderId="39" xfId="66" applyNumberFormat="1" applyFont="1" applyBorder="1" applyAlignment="1">
      <alignment horizontal="center" vertical="center" wrapText="1"/>
    </xf>
    <xf numFmtId="0" fontId="34" fillId="0" borderId="47" xfId="66" applyFont="1" applyBorder="1" applyAlignment="1">
      <alignment horizontal="center" vertical="center" wrapText="1"/>
    </xf>
    <xf numFmtId="0" fontId="34" fillId="0" borderId="48" xfId="66" applyFont="1" applyBorder="1" applyAlignment="1">
      <alignment horizontal="center" vertical="center" wrapText="1"/>
    </xf>
    <xf numFmtId="0" fontId="34" fillId="0" borderId="31" xfId="66" applyFont="1" applyBorder="1" applyAlignment="1">
      <alignment horizontal="center" vertical="center" wrapText="1"/>
    </xf>
    <xf numFmtId="0" fontId="34" fillId="0" borderId="39" xfId="66" applyFont="1" applyBorder="1" applyAlignment="1">
      <alignment horizontal="center" vertical="center" wrapText="1"/>
    </xf>
    <xf numFmtId="0" fontId="34" fillId="0" borderId="16" xfId="66" applyFont="1" applyBorder="1" applyAlignment="1">
      <alignment horizontal="center" vertical="center" wrapText="1"/>
    </xf>
    <xf numFmtId="0" fontId="34" fillId="0" borderId="23" xfId="66" applyFont="1" applyBorder="1" applyAlignment="1">
      <alignment horizontal="center" vertical="center" wrapText="1"/>
    </xf>
    <xf numFmtId="0" fontId="61" fillId="0" borderId="0" xfId="0" applyFont="1" applyAlignment="1">
      <alignment wrapText="1"/>
    </xf>
    <xf numFmtId="0" fontId="34" fillId="0" borderId="0" xfId="66" applyFont="1" applyAlignment="1">
      <alignment horizontal="center"/>
    </xf>
    <xf numFmtId="0" fontId="34" fillId="0" borderId="10" xfId="66" applyFont="1" applyBorder="1" applyAlignment="1">
      <alignment horizontal="center" vertical="center" wrapText="1"/>
    </xf>
    <xf numFmtId="49" fontId="34" fillId="0" borderId="10" xfId="66" applyNumberFormat="1" applyFont="1" applyBorder="1" applyAlignment="1">
      <alignment horizontal="center" vertical="center" wrapText="1"/>
    </xf>
    <xf numFmtId="0" fontId="34" fillId="0" borderId="31" xfId="66" applyFont="1" applyBorder="1" applyAlignment="1">
      <alignment horizontal="center" wrapText="1"/>
    </xf>
    <xf numFmtId="0" fontId="34" fillId="0" borderId="10" xfId="66" applyFont="1" applyBorder="1" applyAlignment="1">
      <alignment horizontal="center" wrapText="1"/>
    </xf>
    <xf numFmtId="0" fontId="64" fillId="0" borderId="0" xfId="69" applyFont="1" applyAlignment="1">
      <alignment horizontal="center"/>
    </xf>
    <xf numFmtId="0" fontId="8" fillId="0" borderId="0" xfId="51" applyAlignment="1">
      <alignment horizontal="left" wrapText="1"/>
    </xf>
    <xf numFmtId="0" fontId="8" fillId="0" borderId="0" xfId="51" applyAlignment="1">
      <alignment horizontal="right"/>
    </xf>
    <xf numFmtId="0" fontId="69" fillId="0" borderId="0" xfId="51" applyFont="1" applyAlignment="1">
      <alignment horizontal="left" wrapText="1"/>
    </xf>
    <xf numFmtId="0" fontId="8" fillId="0" borderId="0" xfId="51" applyAlignment="1">
      <alignment horizontal="left"/>
    </xf>
    <xf numFmtId="0" fontId="50" fillId="0" borderId="0" xfId="70" applyFont="1" applyAlignment="1">
      <alignment horizontal="center"/>
    </xf>
    <xf numFmtId="0" fontId="70" fillId="0" borderId="0" xfId="70" applyFont="1" applyAlignment="1">
      <alignment horizontal="center"/>
    </xf>
    <xf numFmtId="0" fontId="51" fillId="0" borderId="66" xfId="70" applyFont="1" applyBorder="1"/>
    <xf numFmtId="0" fontId="51" fillId="0" borderId="67" xfId="70" applyFont="1" applyBorder="1"/>
    <xf numFmtId="0" fontId="51" fillId="0" borderId="68" xfId="70" applyFont="1" applyBorder="1"/>
    <xf numFmtId="0" fontId="68" fillId="0" borderId="0" xfId="51" applyFont="1" applyAlignment="1">
      <alignment horizontal="right"/>
    </xf>
    <xf numFmtId="0" fontId="67" fillId="0" borderId="0" xfId="51" applyFont="1" applyAlignment="1">
      <alignment horizontal="center"/>
    </xf>
    <xf numFmtId="0" fontId="32" fillId="0" borderId="0" xfId="72" applyFont="1" applyAlignment="1">
      <alignment horizontal="center" vertical="center" wrapText="1"/>
    </xf>
    <xf numFmtId="0" fontId="67" fillId="0" borderId="0" xfId="72" applyFont="1" applyAlignment="1">
      <alignment horizontal="right"/>
    </xf>
    <xf numFmtId="0" fontId="67" fillId="0" borderId="0" xfId="72" applyFont="1" applyAlignment="1">
      <alignment horizontal="center"/>
    </xf>
    <xf numFmtId="0" fontId="33" fillId="0" borderId="0" xfId="72" applyFont="1" applyAlignment="1">
      <alignment horizontal="right"/>
    </xf>
    <xf numFmtId="0" fontId="33" fillId="0" borderId="0" xfId="72" applyFont="1" applyAlignment="1">
      <alignment horizontal="center"/>
    </xf>
  </cellXfs>
  <cellStyles count="77">
    <cellStyle name="20% - 1. jelölőszín" xfId="1" builtinId="30" customBuiltin="1"/>
    <cellStyle name="20% - 1. jelölőszín 2" xfId="2" xr:uid="{00000000-0005-0000-0000-000001000000}"/>
    <cellStyle name="20% - 2. jelölőszín" xfId="3" builtinId="34" customBuiltin="1"/>
    <cellStyle name="20% - 2. jelölőszín 2" xfId="4" xr:uid="{00000000-0005-0000-0000-000003000000}"/>
    <cellStyle name="20% - 3. jelölőszín" xfId="5" builtinId="38" customBuiltin="1"/>
    <cellStyle name="20% - 3. jelölőszín 2" xfId="6" xr:uid="{00000000-0005-0000-0000-000005000000}"/>
    <cellStyle name="20% - 4. jelölőszín" xfId="7" builtinId="42" customBuiltin="1"/>
    <cellStyle name="20% - 4. jelölőszín 2" xfId="8" xr:uid="{00000000-0005-0000-0000-000007000000}"/>
    <cellStyle name="20% - 5. jelölőszín" xfId="9" builtinId="46" customBuiltin="1"/>
    <cellStyle name="20% - 5. jelölőszín 2" xfId="10" xr:uid="{00000000-0005-0000-0000-000009000000}"/>
    <cellStyle name="20% - 6. jelölőszín" xfId="11" builtinId="50" customBuiltin="1"/>
    <cellStyle name="20% - 6. jelölőszín 2" xfId="12" xr:uid="{00000000-0005-0000-0000-00000B000000}"/>
    <cellStyle name="40% - 1. jelölőszín" xfId="13" builtinId="31" customBuiltin="1"/>
    <cellStyle name="40% - 1. jelölőszín 2" xfId="14" xr:uid="{00000000-0005-0000-0000-00000D000000}"/>
    <cellStyle name="40% - 2. jelölőszín" xfId="15" builtinId="35" customBuiltin="1"/>
    <cellStyle name="40% - 2. jelölőszín 2" xfId="16" xr:uid="{00000000-0005-0000-0000-00000F000000}"/>
    <cellStyle name="40% - 3. jelölőszín" xfId="17" builtinId="39" customBuiltin="1"/>
    <cellStyle name="40% - 3. jelölőszín 2" xfId="18" xr:uid="{00000000-0005-0000-0000-000011000000}"/>
    <cellStyle name="40% - 4. jelölőszín" xfId="19" builtinId="43" customBuiltin="1"/>
    <cellStyle name="40% - 4. jelölőszín 2" xfId="20" xr:uid="{00000000-0005-0000-0000-000013000000}"/>
    <cellStyle name="40% - 5. jelölőszín" xfId="21" builtinId="47" customBuiltin="1"/>
    <cellStyle name="40% - 5. jelölőszín 2" xfId="22" xr:uid="{00000000-0005-0000-0000-000015000000}"/>
    <cellStyle name="40% - 6. jelölőszín" xfId="23" builtinId="51" customBuiltin="1"/>
    <cellStyle name="40% - 6. jelölőszín 2" xfId="24" xr:uid="{00000000-0005-0000-0000-000017000000}"/>
    <cellStyle name="60% - 1. jelölőszín" xfId="25" builtinId="32" customBuiltin="1"/>
    <cellStyle name="60% - 2. jelölőszín" xfId="26" builtinId="36" customBuiltin="1"/>
    <cellStyle name="60% - 3. jelölőszín" xfId="27" builtinId="40" customBuiltin="1"/>
    <cellStyle name="60% - 4. jelölőszín" xfId="28" builtinId="44" customBuiltin="1"/>
    <cellStyle name="60% - 5. jelölőszín" xfId="29" builtinId="48" customBuiltin="1"/>
    <cellStyle name="60% - 6. jelölőszín" xfId="30" builtinId="52" customBuiltin="1"/>
    <cellStyle name="Bevitel" xfId="31" builtinId="20" customBuiltin="1"/>
    <cellStyle name="Cím" xfId="32" builtinId="15" customBuiltin="1"/>
    <cellStyle name="Címsor 1" xfId="33" builtinId="16" customBuiltin="1"/>
    <cellStyle name="Címsor 2" xfId="34" builtinId="17" customBuiltin="1"/>
    <cellStyle name="Címsor 3" xfId="35" builtinId="18" customBuiltin="1"/>
    <cellStyle name="Címsor 4" xfId="36" builtinId="19" customBuiltin="1"/>
    <cellStyle name="Ellenőrzőcella" xfId="37" builtinId="23" customBuiltin="1"/>
    <cellStyle name="Ezres 2" xfId="63" xr:uid="{DBEA88C1-A741-4FA8-BA78-29E5B1D27846}"/>
    <cellStyle name="Ezres 2 2" xfId="73" xr:uid="{FC5E8906-CF2A-4774-8B03-5105B75B0654}"/>
    <cellStyle name="Ezres 2 2 2" xfId="76" xr:uid="{C1EEB145-F027-4B88-9A38-EAB374B366E2}"/>
    <cellStyle name="Figyelmeztetés" xfId="38" builtinId="11" customBuiltin="1"/>
    <cellStyle name="Hivatkozás 2" xfId="68" xr:uid="{6AABA3DC-1978-4578-8EFA-35F0EFB8793C}"/>
    <cellStyle name="Hivatkozott cella" xfId="39" builtinId="24" customBuiltin="1"/>
    <cellStyle name="Jegyzet" xfId="40" builtinId="10" customBuiltin="1"/>
    <cellStyle name="Jelölőszín 1" xfId="41" builtinId="29" customBuiltin="1"/>
    <cellStyle name="Jelölőszín 2" xfId="42" builtinId="33" customBuiltin="1"/>
    <cellStyle name="Jelölőszín 3" xfId="43" builtinId="37" customBuiltin="1"/>
    <cellStyle name="Jelölőszín 4" xfId="44" builtinId="41" customBuiltin="1"/>
    <cellStyle name="Jelölőszín 5" xfId="45" builtinId="45" customBuiltin="1"/>
    <cellStyle name="Jelölőszín 6" xfId="46" builtinId="49" customBuiltin="1"/>
    <cellStyle name="Jó" xfId="47" builtinId="26" customBuiltin="1"/>
    <cellStyle name="Kimenet" xfId="48" builtinId="21" customBuiltin="1"/>
    <cellStyle name="Magyarázó szöveg" xfId="49" builtinId="53" customBuiltin="1"/>
    <cellStyle name="Normál" xfId="0" builtinId="0"/>
    <cellStyle name="Normál 2" xfId="50" xr:uid="{00000000-0005-0000-0000-000033000000}"/>
    <cellStyle name="Normál 2 2" xfId="51" xr:uid="{00000000-0005-0000-0000-000034000000}"/>
    <cellStyle name="Normál 3" xfId="52" xr:uid="{00000000-0005-0000-0000-000035000000}"/>
    <cellStyle name="Normál 4" xfId="61" xr:uid="{00000000-0005-0000-0000-000036000000}"/>
    <cellStyle name="Normál 4 2" xfId="64" xr:uid="{EC972123-2987-46FC-8607-96D9209D7C41}"/>
    <cellStyle name="Normál 4 3" xfId="71" xr:uid="{2BA35C5F-D19C-40F0-9315-E7C4787DBC5D}"/>
    <cellStyle name="Normál_2005. 4. számú melléklet" xfId="59" xr:uid="{00000000-0005-0000-0000-000037000000}"/>
    <cellStyle name="Normál_2005. 6.számú melléklet" xfId="69" xr:uid="{4A22F59F-138A-4CC3-858C-A47CCEA069B2}"/>
    <cellStyle name="Normál_2005.11.sz.melléklet_10.sz.mell-2012 évi ktgvetés-12.01.24 Bea" xfId="72" xr:uid="{0FBFE4C5-DA7B-49F9-BBEF-9491896C7242}"/>
    <cellStyle name="Normál_2006 Zárszámadási rendelet 1,2,3,4,5,6,8,9,10,11,12,13,14,15 sz. mellékletei" xfId="67" xr:uid="{4766EE65-6C06-458C-81D1-E970C71908EB}"/>
    <cellStyle name="Normál_2009. ktv.rendelet" xfId="53" xr:uid="{00000000-0005-0000-0000-00003B000000}"/>
    <cellStyle name="Normál_3. sz. melléklet létszám" xfId="74" xr:uid="{4769B634-9A74-48B5-94AF-EB7CFE744A5D}"/>
    <cellStyle name="Normál_koltsegvetes_melleklet" xfId="75" xr:uid="{11551DFB-FF99-463C-8FF2-DF59B0BCE706}"/>
    <cellStyle name="Normál_költségvetési rendelet 3 4 5 5b 5c 6 9 9a 11 16a 16b mellékletei" xfId="70" xr:uid="{46F9AA26-B7C9-4AEC-8808-A6347D4F317B}"/>
    <cellStyle name="Normál_költségvetési rendelet 3,4,5,5b,5c,6,9,9a,11,16a,16b mellékletei-2008-3" xfId="66" xr:uid="{97D4D803-24E0-4F04-BC2E-724ADA7A4F58}"/>
    <cellStyle name="Normal_KTRSZJ" xfId="54" xr:uid="{00000000-0005-0000-0000-000040000000}"/>
    <cellStyle name="Összesen" xfId="55" builtinId="25" customBuiltin="1"/>
    <cellStyle name="Pénznem 2" xfId="62" xr:uid="{00000000-0005-0000-0000-000043000000}"/>
    <cellStyle name="Pénznem 3" xfId="65" xr:uid="{064FD446-604F-4AE4-BFA8-C40527429D16}"/>
    <cellStyle name="Rossz" xfId="56" builtinId="27" customBuiltin="1"/>
    <cellStyle name="Semleges" xfId="57" builtinId="28" customBuiltin="1"/>
    <cellStyle name="Számítás" xfId="58" builtinId="22" customBuiltin="1"/>
    <cellStyle name="Százalék 2" xfId="60"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Onkormanyzati-iroda\&#218;j%20strukt&#250;ra\Test&#252;leti%20g&#233;p%202021.02.08\Test&#252;let\2023.%20&#233;vi%20el&#337;terjeszt&#233;sek\2023.09.28.%20rendes\&#252;l&#233;s%20ut&#225;n\24-2023%20k&#246;lts&#233;gvet&#233;s%20m&#243;dos&#237;t&#225;s\24-2023%20koltsegvetes%202.-modositas_23.09.28.xlsx" TargetMode="External"/><Relationship Id="rId1" Type="http://schemas.openxmlformats.org/officeDocument/2006/relationships/externalLinkPath" Target="24-2023%20koltsegvetes%202.-modositas_23.09.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melléklet"/>
      <sheetName val="2. mell. 1. pont"/>
      <sheetName val="4. melléklet"/>
    </sheetNames>
    <sheetDataSet>
      <sheetData sheetId="0">
        <row r="11">
          <cell r="D11">
            <v>4684</v>
          </cell>
          <cell r="P11">
            <v>4684</v>
          </cell>
        </row>
        <row r="17">
          <cell r="D17">
            <v>20000</v>
          </cell>
          <cell r="P17">
            <v>20000</v>
          </cell>
        </row>
        <row r="25">
          <cell r="D25">
            <v>7000</v>
          </cell>
          <cell r="P25">
            <v>7000</v>
          </cell>
        </row>
        <row r="47">
          <cell r="D47">
            <v>183884</v>
          </cell>
          <cell r="P47">
            <v>239571</v>
          </cell>
        </row>
        <row r="62">
          <cell r="D62">
            <v>1098159</v>
          </cell>
          <cell r="P62">
            <v>1033253</v>
          </cell>
        </row>
        <row r="93">
          <cell r="D93">
            <v>1719969</v>
          </cell>
          <cell r="P93">
            <v>2146062</v>
          </cell>
        </row>
        <row r="103">
          <cell r="D103">
            <v>388251</v>
          </cell>
          <cell r="P103">
            <v>501397</v>
          </cell>
        </row>
        <row r="126">
          <cell r="D126">
            <v>137576</v>
          </cell>
          <cell r="P126">
            <v>157733</v>
          </cell>
        </row>
        <row r="140">
          <cell r="D140">
            <v>263671</v>
          </cell>
          <cell r="P140">
            <v>459674</v>
          </cell>
        </row>
        <row r="151">
          <cell r="D151">
            <v>4760</v>
          </cell>
          <cell r="P151">
            <v>7760</v>
          </cell>
        </row>
        <row r="156">
          <cell r="D156">
            <v>400</v>
          </cell>
          <cell r="P156">
            <v>400</v>
          </cell>
        </row>
        <row r="164">
          <cell r="D164">
            <v>300</v>
          </cell>
          <cell r="P164">
            <v>300</v>
          </cell>
        </row>
        <row r="170">
          <cell r="D170">
            <v>23000</v>
          </cell>
          <cell r="P170">
            <v>23000</v>
          </cell>
        </row>
        <row r="185">
          <cell r="D185">
            <v>1194</v>
          </cell>
          <cell r="P185">
            <v>1206</v>
          </cell>
        </row>
        <row r="192">
          <cell r="D192">
            <v>1695790</v>
          </cell>
          <cell r="P192">
            <v>1695811</v>
          </cell>
        </row>
        <row r="197">
          <cell r="P197">
            <v>112570</v>
          </cell>
        </row>
        <row r="200">
          <cell r="P200">
            <v>905</v>
          </cell>
        </row>
      </sheetData>
      <sheetData sheetId="1">
        <row r="11">
          <cell r="D11">
            <v>435137</v>
          </cell>
          <cell r="P11">
            <v>435137</v>
          </cell>
        </row>
        <row r="12">
          <cell r="D12">
            <v>17918</v>
          </cell>
          <cell r="P12">
            <v>17918</v>
          </cell>
        </row>
        <row r="13">
          <cell r="D13">
            <v>98584</v>
          </cell>
          <cell r="P13">
            <v>93839</v>
          </cell>
        </row>
        <row r="18">
          <cell r="D18">
            <v>3279</v>
          </cell>
          <cell r="P18">
            <v>8024</v>
          </cell>
        </row>
        <row r="22">
          <cell r="D22">
            <v>81546</v>
          </cell>
          <cell r="P22">
            <v>81546</v>
          </cell>
        </row>
        <row r="23">
          <cell r="D23">
            <v>10547</v>
          </cell>
          <cell r="P23">
            <v>10547</v>
          </cell>
        </row>
        <row r="24">
          <cell r="D24">
            <v>63557</v>
          </cell>
          <cell r="P24">
            <v>65892</v>
          </cell>
        </row>
        <row r="28">
          <cell r="P28">
            <v>861</v>
          </cell>
        </row>
        <row r="31">
          <cell r="D31">
            <v>4965</v>
          </cell>
          <cell r="P31">
            <v>5447</v>
          </cell>
        </row>
        <row r="34">
          <cell r="D34">
            <v>5864</v>
          </cell>
          <cell r="P34">
            <v>5864</v>
          </cell>
        </row>
        <row r="38">
          <cell r="D38">
            <v>326584</v>
          </cell>
          <cell r="P38">
            <v>438766</v>
          </cell>
        </row>
        <row r="39">
          <cell r="D39">
            <v>46796</v>
          </cell>
          <cell r="P39">
            <v>62459</v>
          </cell>
        </row>
        <row r="40">
          <cell r="D40">
            <v>76000</v>
          </cell>
          <cell r="P40">
            <v>76012</v>
          </cell>
        </row>
        <row r="44">
          <cell r="P44">
            <v>1606</v>
          </cell>
        </row>
        <row r="50">
          <cell r="D50">
            <v>9217</v>
          </cell>
          <cell r="P50">
            <v>9217</v>
          </cell>
        </row>
        <row r="64">
          <cell r="D64">
            <v>173434</v>
          </cell>
          <cell r="P64">
            <v>173434</v>
          </cell>
        </row>
        <row r="74">
          <cell r="D74">
            <v>23539</v>
          </cell>
          <cell r="P74">
            <v>23539</v>
          </cell>
        </row>
        <row r="136">
          <cell r="D136">
            <v>1450459</v>
          </cell>
          <cell r="P136">
            <v>1647349</v>
          </cell>
        </row>
        <row r="150">
          <cell r="D150">
            <v>15000</v>
          </cell>
          <cell r="P150">
            <v>15175</v>
          </cell>
        </row>
        <row r="161">
          <cell r="D161">
            <v>479099</v>
          </cell>
          <cell r="P161">
            <v>552291</v>
          </cell>
        </row>
        <row r="176">
          <cell r="D176">
            <v>70200</v>
          </cell>
          <cell r="P176">
            <v>71200</v>
          </cell>
        </row>
        <row r="182">
          <cell r="D182">
            <v>5000</v>
          </cell>
          <cell r="P182">
            <v>5000</v>
          </cell>
        </row>
        <row r="185">
          <cell r="D185">
            <v>1004</v>
          </cell>
          <cell r="P185">
            <v>1662</v>
          </cell>
        </row>
        <row r="189">
          <cell r="D189">
            <v>16505</v>
          </cell>
          <cell r="P189">
            <v>16505</v>
          </cell>
        </row>
        <row r="221">
          <cell r="D221">
            <v>661863</v>
          </cell>
          <cell r="P221">
            <v>689460</v>
          </cell>
        </row>
        <row r="237">
          <cell r="D237">
            <v>1358419</v>
          </cell>
          <cell r="P237">
            <v>1673479</v>
          </cell>
        </row>
        <row r="243">
          <cell r="D243">
            <v>0</v>
          </cell>
          <cell r="P243">
            <v>500</v>
          </cell>
        </row>
        <row r="249">
          <cell r="D249">
            <v>8300</v>
          </cell>
          <cell r="P249">
            <v>9300</v>
          </cell>
        </row>
        <row r="255">
          <cell r="D255">
            <v>14868</v>
          </cell>
          <cell r="P255">
            <v>14868</v>
          </cell>
        </row>
        <row r="264">
          <cell r="D264">
            <v>26389</v>
          </cell>
          <cell r="P264">
            <v>26389</v>
          </cell>
        </row>
        <row r="265">
          <cell r="P265">
            <v>112570</v>
          </cell>
        </row>
        <row r="268">
          <cell r="D268">
            <v>64565</v>
          </cell>
          <cell r="P268">
            <v>65470</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hyperlink" Target="https://gazd-a-20.asp.lgov.hu/gazd-dombovar/CORE/eur/php/formfull.php?===tMuE2AvATZ9DzM0NwA581HGMFZjxwAl0QMccapyc3pzD2og9ypyOarmS2n9HJou5To1E2ogMlGT5HFsEIDn9xHOEIDV1QMcIJou5Jol9zMzLJLxqwLwOGCxMTAjLGBsA1H3r5n1===" TargetMode="Externa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5B03B-27F5-4355-AB0A-0125464A75B2}">
  <sheetPr>
    <pageSetUpPr fitToPage="1"/>
  </sheetPr>
  <dimension ref="A1:S258"/>
  <sheetViews>
    <sheetView tabSelected="1" view="pageBreakPreview" topLeftCell="D1" zoomScaleNormal="100" zoomScaleSheetLayoutView="100" workbookViewId="0">
      <selection activeCell="S2" sqref="S2"/>
    </sheetView>
  </sheetViews>
  <sheetFormatPr defaultColWidth="8.85546875" defaultRowHeight="16.5" x14ac:dyDescent="0.25"/>
  <cols>
    <col min="1" max="1" width="5.42578125" style="159" customWidth="1"/>
    <col min="2" max="2" width="7.28515625" style="178" customWidth="1"/>
    <col min="3" max="3" width="64.5703125" style="19" customWidth="1"/>
    <col min="4" max="5" width="10.7109375" style="37" bestFit="1" customWidth="1"/>
    <col min="6" max="7" width="8.85546875" style="37"/>
    <col min="8" max="9" width="10.7109375" style="37" bestFit="1" customWidth="1"/>
    <col min="10" max="11" width="8.85546875" style="37"/>
    <col min="12" max="13" width="9" style="37" bestFit="1" customWidth="1"/>
    <col min="14" max="15" width="8.85546875" style="37"/>
    <col min="16" max="17" width="10.7109375" style="37" bestFit="1" customWidth="1"/>
    <col min="18" max="19" width="8.85546875" style="37"/>
  </cols>
  <sheetData>
    <row r="1" spans="1:19" x14ac:dyDescent="0.25">
      <c r="A1" s="37"/>
      <c r="B1" s="38"/>
      <c r="C1" s="20"/>
      <c r="D1" s="34"/>
      <c r="E1" s="34"/>
      <c r="F1" s="34"/>
      <c r="G1" s="34"/>
      <c r="H1" s="34"/>
      <c r="I1" s="34"/>
      <c r="J1" s="34"/>
      <c r="K1" s="34"/>
      <c r="L1" s="34"/>
      <c r="M1" s="34"/>
      <c r="N1" s="34"/>
      <c r="O1" s="34"/>
      <c r="P1" s="34"/>
      <c r="Q1" s="34"/>
      <c r="R1" s="34"/>
      <c r="S1" s="34" t="s">
        <v>940</v>
      </c>
    </row>
    <row r="2" spans="1:19" x14ac:dyDescent="0.25">
      <c r="A2" s="37"/>
      <c r="B2" s="38"/>
      <c r="C2" s="20"/>
      <c r="D2" s="34"/>
      <c r="E2" s="34"/>
      <c r="F2" s="34"/>
      <c r="G2" s="34"/>
      <c r="H2" s="34"/>
      <c r="I2" s="34"/>
      <c r="J2" s="34"/>
      <c r="K2" s="34"/>
      <c r="L2" s="34"/>
      <c r="M2" s="34"/>
      <c r="N2" s="34"/>
      <c r="O2" s="34"/>
      <c r="P2" s="34"/>
      <c r="Q2" s="34"/>
      <c r="R2" s="34"/>
      <c r="S2" s="108" t="s">
        <v>1001</v>
      </c>
    </row>
    <row r="3" spans="1:19" ht="17.25" thickBot="1" x14ac:dyDescent="0.3">
      <c r="A3" s="109"/>
      <c r="B3" s="109"/>
      <c r="C3" s="109" t="s">
        <v>885</v>
      </c>
    </row>
    <row r="4" spans="1:19" ht="15" thickBot="1" x14ac:dyDescent="0.25">
      <c r="A4" s="110"/>
      <c r="B4" s="111"/>
      <c r="C4" s="112"/>
      <c r="D4" s="622" t="s">
        <v>199</v>
      </c>
      <c r="E4" s="623"/>
      <c r="F4" s="623"/>
      <c r="G4" s="624"/>
      <c r="H4" s="622" t="s">
        <v>990</v>
      </c>
      <c r="I4" s="623"/>
      <c r="J4" s="623"/>
      <c r="K4" s="623"/>
      <c r="L4" s="622" t="s">
        <v>959</v>
      </c>
      <c r="M4" s="623"/>
      <c r="N4" s="623"/>
      <c r="O4" s="623"/>
      <c r="P4" s="625" t="s">
        <v>991</v>
      </c>
      <c r="Q4" s="623"/>
      <c r="R4" s="623"/>
      <c r="S4" s="623"/>
    </row>
    <row r="5" spans="1:19" ht="45.75" thickBot="1" x14ac:dyDescent="0.3">
      <c r="A5" s="102"/>
      <c r="B5" s="113"/>
      <c r="C5" s="114"/>
      <c r="D5" s="115" t="s">
        <v>23</v>
      </c>
      <c r="E5" s="35" t="s">
        <v>40</v>
      </c>
      <c r="F5" s="36" t="s">
        <v>41</v>
      </c>
      <c r="G5" s="565" t="s">
        <v>184</v>
      </c>
      <c r="H5" s="597" t="s">
        <v>23</v>
      </c>
      <c r="I5" s="598" t="s">
        <v>40</v>
      </c>
      <c r="J5" s="599" t="s">
        <v>41</v>
      </c>
      <c r="K5" s="600" t="s">
        <v>184</v>
      </c>
      <c r="L5" s="115" t="s">
        <v>23</v>
      </c>
      <c r="M5" s="35" t="s">
        <v>40</v>
      </c>
      <c r="N5" s="36" t="s">
        <v>41</v>
      </c>
      <c r="O5" s="116" t="s">
        <v>184</v>
      </c>
      <c r="P5" s="566" t="s">
        <v>23</v>
      </c>
      <c r="Q5" s="35" t="s">
        <v>40</v>
      </c>
      <c r="R5" s="36" t="s">
        <v>41</v>
      </c>
      <c r="S5" s="116" t="s">
        <v>184</v>
      </c>
    </row>
    <row r="6" spans="1:19" ht="14.25" x14ac:dyDescent="0.2">
      <c r="A6" s="117" t="s">
        <v>4</v>
      </c>
      <c r="B6" s="118" t="s">
        <v>5</v>
      </c>
      <c r="C6" s="119" t="s">
        <v>6</v>
      </c>
      <c r="D6" s="117"/>
      <c r="E6" s="120"/>
      <c r="F6" s="120"/>
      <c r="G6" s="121"/>
      <c r="H6" s="117"/>
      <c r="I6" s="120"/>
      <c r="J6" s="120"/>
      <c r="K6" s="567"/>
      <c r="L6" s="568"/>
      <c r="M6" s="120"/>
      <c r="N6" s="120"/>
      <c r="O6" s="567"/>
      <c r="P6" s="568"/>
      <c r="Q6" s="120"/>
      <c r="R6" s="120"/>
      <c r="S6" s="567"/>
    </row>
    <row r="7" spans="1:19" ht="15" x14ac:dyDescent="0.25">
      <c r="A7" s="60"/>
      <c r="B7" s="122"/>
      <c r="C7" s="100"/>
      <c r="D7" s="65"/>
      <c r="E7" s="41"/>
      <c r="F7" s="41"/>
      <c r="G7" s="123"/>
      <c r="H7" s="65"/>
      <c r="I7" s="41"/>
      <c r="J7" s="41"/>
      <c r="K7" s="569"/>
      <c r="L7" s="570"/>
      <c r="M7" s="41"/>
      <c r="N7" s="41"/>
      <c r="O7" s="569"/>
      <c r="P7" s="570"/>
      <c r="Q7" s="41"/>
      <c r="R7" s="41"/>
      <c r="S7" s="569"/>
    </row>
    <row r="8" spans="1:19" ht="15" x14ac:dyDescent="0.25">
      <c r="A8" s="95">
        <v>101</v>
      </c>
      <c r="B8" s="122"/>
      <c r="C8" s="59" t="s">
        <v>817</v>
      </c>
      <c r="D8" s="55"/>
      <c r="E8" s="56"/>
      <c r="F8" s="56"/>
      <c r="G8" s="124"/>
      <c r="H8" s="601"/>
      <c r="I8" s="56"/>
      <c r="J8" s="56"/>
      <c r="K8" s="571"/>
      <c r="L8" s="57"/>
      <c r="M8" s="56"/>
      <c r="N8" s="56"/>
      <c r="O8" s="571"/>
      <c r="P8" s="57"/>
      <c r="Q8" s="56"/>
      <c r="R8" s="56"/>
      <c r="S8" s="571"/>
    </row>
    <row r="9" spans="1:19" ht="15" x14ac:dyDescent="0.25">
      <c r="A9" s="95"/>
      <c r="B9" s="122" t="s">
        <v>7</v>
      </c>
      <c r="C9" s="100" t="s">
        <v>85</v>
      </c>
      <c r="D9" s="63">
        <v>4684</v>
      </c>
      <c r="E9" s="41">
        <v>4684</v>
      </c>
      <c r="F9" s="41">
        <v>0</v>
      </c>
      <c r="G9" s="123">
        <v>0</v>
      </c>
      <c r="H9" s="65">
        <v>4684</v>
      </c>
      <c r="I9" s="41">
        <v>4684</v>
      </c>
      <c r="J9" s="41">
        <v>0</v>
      </c>
      <c r="K9" s="569">
        <v>0</v>
      </c>
      <c r="L9" s="64"/>
      <c r="M9" s="41"/>
      <c r="N9" s="41"/>
      <c r="O9" s="569"/>
      <c r="P9" s="64">
        <f>H9+L9</f>
        <v>4684</v>
      </c>
      <c r="Q9" s="41">
        <f t="shared" ref="Q9:S9" si="0">I9+M9</f>
        <v>4684</v>
      </c>
      <c r="R9" s="41">
        <f t="shared" si="0"/>
        <v>0</v>
      </c>
      <c r="S9" s="569">
        <f t="shared" si="0"/>
        <v>0</v>
      </c>
    </row>
    <row r="10" spans="1:19" ht="15" x14ac:dyDescent="0.25">
      <c r="A10" s="95"/>
      <c r="B10" s="122"/>
      <c r="C10" s="97"/>
      <c r="D10" s="63"/>
      <c r="E10" s="41"/>
      <c r="F10" s="41"/>
      <c r="G10" s="123"/>
      <c r="H10" s="65"/>
      <c r="I10" s="41"/>
      <c r="J10" s="41"/>
      <c r="K10" s="569"/>
      <c r="L10" s="64"/>
      <c r="M10" s="41"/>
      <c r="N10" s="41"/>
      <c r="O10" s="569"/>
      <c r="P10" s="64"/>
      <c r="Q10" s="41"/>
      <c r="R10" s="41"/>
      <c r="S10" s="569"/>
    </row>
    <row r="11" spans="1:19" ht="15" x14ac:dyDescent="0.25">
      <c r="A11" s="60"/>
      <c r="B11" s="122"/>
      <c r="C11" s="128" t="s">
        <v>9</v>
      </c>
      <c r="D11" s="55">
        <f>D9</f>
        <v>4684</v>
      </c>
      <c r="E11" s="56">
        <f t="shared" ref="E11:G11" si="1">E9</f>
        <v>4684</v>
      </c>
      <c r="F11" s="56">
        <f t="shared" si="1"/>
        <v>0</v>
      </c>
      <c r="G11" s="124">
        <f t="shared" si="1"/>
        <v>0</v>
      </c>
      <c r="H11" s="601">
        <v>4684</v>
      </c>
      <c r="I11" s="56">
        <v>4684</v>
      </c>
      <c r="J11" s="56">
        <v>0</v>
      </c>
      <c r="K11" s="571">
        <v>0</v>
      </c>
      <c r="L11" s="57">
        <f>L9</f>
        <v>0</v>
      </c>
      <c r="M11" s="56">
        <f t="shared" ref="M11:O11" si="2">M9</f>
        <v>0</v>
      </c>
      <c r="N11" s="56">
        <f t="shared" si="2"/>
        <v>0</v>
      </c>
      <c r="O11" s="571">
        <f t="shared" si="2"/>
        <v>0</v>
      </c>
      <c r="P11" s="57">
        <f t="shared" ref="P11:S76" si="3">H11+L11</f>
        <v>4684</v>
      </c>
      <c r="Q11" s="56">
        <f t="shared" si="3"/>
        <v>4684</v>
      </c>
      <c r="R11" s="56">
        <f t="shared" si="3"/>
        <v>0</v>
      </c>
      <c r="S11" s="571">
        <f t="shared" si="3"/>
        <v>0</v>
      </c>
    </row>
    <row r="12" spans="1:19" ht="15" x14ac:dyDescent="0.25">
      <c r="A12" s="60"/>
      <c r="B12" s="122"/>
      <c r="C12" s="128"/>
      <c r="D12" s="55"/>
      <c r="E12" s="56"/>
      <c r="F12" s="56"/>
      <c r="G12" s="124"/>
      <c r="H12" s="601"/>
      <c r="I12" s="56"/>
      <c r="J12" s="56"/>
      <c r="K12" s="571"/>
      <c r="L12" s="57"/>
      <c r="M12" s="56"/>
      <c r="N12" s="56"/>
      <c r="O12" s="571"/>
      <c r="P12" s="57"/>
      <c r="Q12" s="56"/>
      <c r="R12" s="56"/>
      <c r="S12" s="571"/>
    </row>
    <row r="13" spans="1:19" ht="15" x14ac:dyDescent="0.25">
      <c r="A13" s="60"/>
      <c r="B13" s="129"/>
      <c r="C13" s="100" t="s">
        <v>3</v>
      </c>
      <c r="D13" s="63"/>
      <c r="E13" s="41"/>
      <c r="F13" s="41"/>
      <c r="G13" s="123"/>
      <c r="H13" s="65">
        <v>0</v>
      </c>
      <c r="I13" s="41">
        <v>0</v>
      </c>
      <c r="J13" s="41">
        <v>0</v>
      </c>
      <c r="K13" s="569">
        <v>0</v>
      </c>
      <c r="L13" s="64"/>
      <c r="M13" s="41"/>
      <c r="N13" s="41"/>
      <c r="O13" s="569"/>
      <c r="P13" s="64">
        <f t="shared" si="3"/>
        <v>0</v>
      </c>
      <c r="Q13" s="41">
        <f t="shared" si="3"/>
        <v>0</v>
      </c>
      <c r="R13" s="41">
        <f t="shared" si="3"/>
        <v>0</v>
      </c>
      <c r="S13" s="569">
        <f t="shared" si="3"/>
        <v>0</v>
      </c>
    </row>
    <row r="14" spans="1:19" ht="15" x14ac:dyDescent="0.25">
      <c r="A14" s="95">
        <v>102</v>
      </c>
      <c r="B14" s="122"/>
      <c r="C14" s="54" t="s">
        <v>155</v>
      </c>
      <c r="D14" s="55"/>
      <c r="E14" s="56"/>
      <c r="F14" s="56"/>
      <c r="G14" s="124"/>
      <c r="H14" s="601"/>
      <c r="I14" s="56"/>
      <c r="J14" s="56"/>
      <c r="K14" s="571"/>
      <c r="L14" s="57"/>
      <c r="M14" s="56"/>
      <c r="N14" s="56"/>
      <c r="O14" s="571"/>
      <c r="P14" s="64"/>
      <c r="Q14" s="41"/>
      <c r="R14" s="41"/>
      <c r="S14" s="569"/>
    </row>
    <row r="15" spans="1:19" ht="15" x14ac:dyDescent="0.25">
      <c r="A15" s="60"/>
      <c r="B15" s="122" t="s">
        <v>7</v>
      </c>
      <c r="C15" s="100" t="s">
        <v>85</v>
      </c>
      <c r="D15" s="63">
        <v>20000</v>
      </c>
      <c r="E15" s="41">
        <v>20000</v>
      </c>
      <c r="F15" s="41">
        <v>0</v>
      </c>
      <c r="G15" s="123">
        <v>0</v>
      </c>
      <c r="H15" s="65">
        <v>20000</v>
      </c>
      <c r="I15" s="41">
        <v>20000</v>
      </c>
      <c r="J15" s="41">
        <v>0</v>
      </c>
      <c r="K15" s="569">
        <v>0</v>
      </c>
      <c r="L15" s="64"/>
      <c r="M15" s="41"/>
      <c r="N15" s="41"/>
      <c r="O15" s="569"/>
      <c r="P15" s="64">
        <f t="shared" si="3"/>
        <v>20000</v>
      </c>
      <c r="Q15" s="41">
        <f t="shared" si="3"/>
        <v>20000</v>
      </c>
      <c r="R15" s="41">
        <f t="shared" si="3"/>
        <v>0</v>
      </c>
      <c r="S15" s="569">
        <f t="shared" si="3"/>
        <v>0</v>
      </c>
    </row>
    <row r="16" spans="1:19" ht="15" x14ac:dyDescent="0.25">
      <c r="A16" s="60"/>
      <c r="B16" s="122"/>
      <c r="C16" s="97"/>
      <c r="D16" s="63"/>
      <c r="E16" s="41"/>
      <c r="F16" s="41"/>
      <c r="G16" s="123"/>
      <c r="H16" s="65"/>
      <c r="I16" s="41"/>
      <c r="J16" s="41"/>
      <c r="K16" s="569"/>
      <c r="L16" s="64"/>
      <c r="M16" s="41"/>
      <c r="N16" s="41"/>
      <c r="O16" s="569"/>
      <c r="P16" s="64"/>
      <c r="Q16" s="41"/>
      <c r="R16" s="41"/>
      <c r="S16" s="569"/>
    </row>
    <row r="17" spans="1:19" ht="15" x14ac:dyDescent="0.25">
      <c r="A17" s="60"/>
      <c r="B17" s="122"/>
      <c r="C17" s="128" t="s">
        <v>28</v>
      </c>
      <c r="D17" s="55">
        <f>D15</f>
        <v>20000</v>
      </c>
      <c r="E17" s="56">
        <f t="shared" ref="E17:G17" si="4">E15</f>
        <v>20000</v>
      </c>
      <c r="F17" s="56">
        <f t="shared" si="4"/>
        <v>0</v>
      </c>
      <c r="G17" s="124">
        <f t="shared" si="4"/>
        <v>0</v>
      </c>
      <c r="H17" s="601">
        <v>20000</v>
      </c>
      <c r="I17" s="56">
        <v>20000</v>
      </c>
      <c r="J17" s="56">
        <v>0</v>
      </c>
      <c r="K17" s="571">
        <v>0</v>
      </c>
      <c r="L17" s="57">
        <f>L15</f>
        <v>0</v>
      </c>
      <c r="M17" s="56">
        <f t="shared" ref="M17:O17" si="5">M15</f>
        <v>0</v>
      </c>
      <c r="N17" s="56">
        <f t="shared" si="5"/>
        <v>0</v>
      </c>
      <c r="O17" s="571">
        <f t="shared" si="5"/>
        <v>0</v>
      </c>
      <c r="P17" s="57">
        <f t="shared" si="3"/>
        <v>20000</v>
      </c>
      <c r="Q17" s="56">
        <f t="shared" si="3"/>
        <v>20000</v>
      </c>
      <c r="R17" s="56">
        <f t="shared" si="3"/>
        <v>0</v>
      </c>
      <c r="S17" s="571">
        <f t="shared" si="3"/>
        <v>0</v>
      </c>
    </row>
    <row r="18" spans="1:19" ht="15" x14ac:dyDescent="0.25">
      <c r="A18" s="60"/>
      <c r="B18" s="122"/>
      <c r="C18" s="100"/>
      <c r="D18" s="63"/>
      <c r="E18" s="41"/>
      <c r="F18" s="41"/>
      <c r="G18" s="123"/>
      <c r="H18" s="65"/>
      <c r="I18" s="41"/>
      <c r="J18" s="41"/>
      <c r="K18" s="569"/>
      <c r="L18" s="64"/>
      <c r="M18" s="41"/>
      <c r="N18" s="41"/>
      <c r="O18" s="569"/>
      <c r="P18" s="64"/>
      <c r="Q18" s="41"/>
      <c r="R18" s="41"/>
      <c r="S18" s="569"/>
    </row>
    <row r="19" spans="1:19" ht="15" x14ac:dyDescent="0.25">
      <c r="A19" s="228">
        <v>103</v>
      </c>
      <c r="B19" s="67"/>
      <c r="C19" s="128" t="s">
        <v>43</v>
      </c>
      <c r="D19" s="55"/>
      <c r="E19" s="56"/>
      <c r="F19" s="56"/>
      <c r="G19" s="124"/>
      <c r="H19" s="601"/>
      <c r="I19" s="56"/>
      <c r="J19" s="56"/>
      <c r="K19" s="571"/>
      <c r="L19" s="57"/>
      <c r="M19" s="56"/>
      <c r="N19" s="56"/>
      <c r="O19" s="571"/>
      <c r="P19" s="64"/>
      <c r="Q19" s="41"/>
      <c r="R19" s="41"/>
      <c r="S19" s="569"/>
    </row>
    <row r="20" spans="1:19" ht="15" x14ac:dyDescent="0.25">
      <c r="A20" s="95"/>
      <c r="B20" s="122" t="s">
        <v>7</v>
      </c>
      <c r="C20" s="100" t="s">
        <v>85</v>
      </c>
      <c r="D20" s="63"/>
      <c r="E20" s="41"/>
      <c r="F20" s="41"/>
      <c r="G20" s="123"/>
      <c r="H20" s="65"/>
      <c r="I20" s="41"/>
      <c r="J20" s="41"/>
      <c r="K20" s="569"/>
      <c r="L20" s="64"/>
      <c r="M20" s="41"/>
      <c r="N20" s="41"/>
      <c r="O20" s="569"/>
      <c r="P20" s="64"/>
      <c r="Q20" s="41"/>
      <c r="R20" s="41"/>
      <c r="S20" s="569"/>
    </row>
    <row r="21" spans="1:19" ht="15" x14ac:dyDescent="0.25">
      <c r="A21" s="95"/>
      <c r="B21" s="122"/>
      <c r="C21" s="100" t="s">
        <v>86</v>
      </c>
      <c r="D21" s="63">
        <v>7000</v>
      </c>
      <c r="E21" s="41">
        <v>7000</v>
      </c>
      <c r="F21" s="41">
        <v>0</v>
      </c>
      <c r="G21" s="123">
        <v>0</v>
      </c>
      <c r="H21" s="65">
        <v>7000</v>
      </c>
      <c r="I21" s="41">
        <v>7000</v>
      </c>
      <c r="J21" s="41">
        <v>0</v>
      </c>
      <c r="K21" s="569">
        <v>0</v>
      </c>
      <c r="L21" s="64"/>
      <c r="M21" s="41"/>
      <c r="N21" s="41"/>
      <c r="O21" s="569"/>
      <c r="P21" s="64">
        <f t="shared" si="3"/>
        <v>7000</v>
      </c>
      <c r="Q21" s="41">
        <f t="shared" si="3"/>
        <v>7000</v>
      </c>
      <c r="R21" s="41">
        <f t="shared" si="3"/>
        <v>0</v>
      </c>
      <c r="S21" s="569">
        <f t="shared" si="3"/>
        <v>0</v>
      </c>
    </row>
    <row r="22" spans="1:19" ht="15" x14ac:dyDescent="0.25">
      <c r="A22" s="95"/>
      <c r="B22" s="122"/>
      <c r="C22" s="100" t="s">
        <v>87</v>
      </c>
      <c r="D22" s="63">
        <v>0</v>
      </c>
      <c r="E22" s="41">
        <v>0</v>
      </c>
      <c r="F22" s="41">
        <v>0</v>
      </c>
      <c r="G22" s="123">
        <v>0</v>
      </c>
      <c r="H22" s="65">
        <v>0</v>
      </c>
      <c r="I22" s="41">
        <v>0</v>
      </c>
      <c r="J22" s="41">
        <v>0</v>
      </c>
      <c r="K22" s="569">
        <v>0</v>
      </c>
      <c r="L22" s="64"/>
      <c r="M22" s="41"/>
      <c r="N22" s="41"/>
      <c r="O22" s="569"/>
      <c r="P22" s="64">
        <f t="shared" si="3"/>
        <v>0</v>
      </c>
      <c r="Q22" s="41">
        <f t="shared" si="3"/>
        <v>0</v>
      </c>
      <c r="R22" s="41">
        <f t="shared" si="3"/>
        <v>0</v>
      </c>
      <c r="S22" s="569">
        <f t="shared" si="3"/>
        <v>0</v>
      </c>
    </row>
    <row r="23" spans="1:19" ht="15" x14ac:dyDescent="0.25">
      <c r="A23" s="68"/>
      <c r="B23" s="130"/>
      <c r="C23" s="131" t="s">
        <v>24</v>
      </c>
      <c r="D23" s="70">
        <f t="shared" ref="D23:G23" si="6">SUM(D21:D22)</f>
        <v>7000</v>
      </c>
      <c r="E23" s="71">
        <f t="shared" si="6"/>
        <v>7000</v>
      </c>
      <c r="F23" s="71">
        <f t="shared" si="6"/>
        <v>0</v>
      </c>
      <c r="G23" s="132">
        <f t="shared" si="6"/>
        <v>0</v>
      </c>
      <c r="H23" s="602">
        <v>7000</v>
      </c>
      <c r="I23" s="71">
        <v>7000</v>
      </c>
      <c r="J23" s="71">
        <v>0</v>
      </c>
      <c r="K23" s="572">
        <v>0</v>
      </c>
      <c r="L23" s="72">
        <f t="shared" ref="L23:O23" si="7">SUM(L21:L22)</f>
        <v>0</v>
      </c>
      <c r="M23" s="71">
        <f t="shared" si="7"/>
        <v>0</v>
      </c>
      <c r="N23" s="71">
        <f t="shared" si="7"/>
        <v>0</v>
      </c>
      <c r="O23" s="572">
        <f t="shared" si="7"/>
        <v>0</v>
      </c>
      <c r="P23" s="72">
        <f t="shared" si="3"/>
        <v>7000</v>
      </c>
      <c r="Q23" s="71">
        <f t="shared" si="3"/>
        <v>7000</v>
      </c>
      <c r="R23" s="71">
        <f t="shared" si="3"/>
        <v>0</v>
      </c>
      <c r="S23" s="572">
        <f t="shared" si="3"/>
        <v>0</v>
      </c>
    </row>
    <row r="24" spans="1:19" ht="15" x14ac:dyDescent="0.25">
      <c r="A24" s="68"/>
      <c r="B24" s="122"/>
      <c r="C24" s="97"/>
      <c r="D24" s="70"/>
      <c r="E24" s="71"/>
      <c r="F24" s="71"/>
      <c r="G24" s="132"/>
      <c r="H24" s="602"/>
      <c r="I24" s="71"/>
      <c r="J24" s="71"/>
      <c r="K24" s="572"/>
      <c r="L24" s="72"/>
      <c r="M24" s="71"/>
      <c r="N24" s="71"/>
      <c r="O24" s="572"/>
      <c r="P24" s="72"/>
      <c r="Q24" s="71"/>
      <c r="R24" s="71"/>
      <c r="S24" s="572"/>
    </row>
    <row r="25" spans="1:19" ht="15" x14ac:dyDescent="0.25">
      <c r="A25" s="95"/>
      <c r="B25" s="122"/>
      <c r="C25" s="128" t="s">
        <v>246</v>
      </c>
      <c r="D25" s="55">
        <f t="shared" ref="D25:O25" si="8">D23</f>
        <v>7000</v>
      </c>
      <c r="E25" s="56">
        <f t="shared" si="8"/>
        <v>7000</v>
      </c>
      <c r="F25" s="56">
        <f t="shared" si="8"/>
        <v>0</v>
      </c>
      <c r="G25" s="124">
        <f t="shared" si="8"/>
        <v>0</v>
      </c>
      <c r="H25" s="601">
        <v>7000</v>
      </c>
      <c r="I25" s="56">
        <v>7000</v>
      </c>
      <c r="J25" s="56">
        <v>0</v>
      </c>
      <c r="K25" s="571">
        <v>0</v>
      </c>
      <c r="L25" s="57">
        <f t="shared" si="8"/>
        <v>0</v>
      </c>
      <c r="M25" s="56">
        <f t="shared" si="8"/>
        <v>0</v>
      </c>
      <c r="N25" s="56">
        <f t="shared" si="8"/>
        <v>0</v>
      </c>
      <c r="O25" s="571">
        <f t="shared" si="8"/>
        <v>0</v>
      </c>
      <c r="P25" s="57">
        <f t="shared" si="3"/>
        <v>7000</v>
      </c>
      <c r="Q25" s="56">
        <f t="shared" si="3"/>
        <v>7000</v>
      </c>
      <c r="R25" s="56">
        <f t="shared" si="3"/>
        <v>0</v>
      </c>
      <c r="S25" s="571">
        <f t="shared" si="3"/>
        <v>0</v>
      </c>
    </row>
    <row r="26" spans="1:19" ht="15" x14ac:dyDescent="0.25">
      <c r="A26" s="95"/>
      <c r="B26" s="122"/>
      <c r="C26" s="128"/>
      <c r="D26" s="55"/>
      <c r="E26" s="56"/>
      <c r="F26" s="56"/>
      <c r="G26" s="124"/>
      <c r="H26" s="601"/>
      <c r="I26" s="56"/>
      <c r="J26" s="56"/>
      <c r="K26" s="571"/>
      <c r="L26" s="57"/>
      <c r="M26" s="56"/>
      <c r="N26" s="56"/>
      <c r="O26" s="571"/>
      <c r="P26" s="64"/>
      <c r="Q26" s="41"/>
      <c r="R26" s="41"/>
      <c r="S26" s="569"/>
    </row>
    <row r="27" spans="1:19" ht="15" x14ac:dyDescent="0.25">
      <c r="A27" s="95"/>
      <c r="B27" s="122"/>
      <c r="C27" s="128" t="s">
        <v>247</v>
      </c>
      <c r="D27" s="55">
        <f t="shared" ref="D27:O27" si="9">D11+D17+D25</f>
        <v>31684</v>
      </c>
      <c r="E27" s="56">
        <f t="shared" si="9"/>
        <v>31684</v>
      </c>
      <c r="F27" s="56">
        <f t="shared" si="9"/>
        <v>0</v>
      </c>
      <c r="G27" s="124">
        <f t="shared" si="9"/>
        <v>0</v>
      </c>
      <c r="H27" s="601">
        <v>31684</v>
      </c>
      <c r="I27" s="56">
        <v>31684</v>
      </c>
      <c r="J27" s="56">
        <v>0</v>
      </c>
      <c r="K27" s="571">
        <v>0</v>
      </c>
      <c r="L27" s="57">
        <f t="shared" si="9"/>
        <v>0</v>
      </c>
      <c r="M27" s="56">
        <f t="shared" si="9"/>
        <v>0</v>
      </c>
      <c r="N27" s="56">
        <f t="shared" si="9"/>
        <v>0</v>
      </c>
      <c r="O27" s="571">
        <f t="shared" si="9"/>
        <v>0</v>
      </c>
      <c r="P27" s="57">
        <f t="shared" si="3"/>
        <v>31684</v>
      </c>
      <c r="Q27" s="56">
        <f t="shared" si="3"/>
        <v>31684</v>
      </c>
      <c r="R27" s="56">
        <f t="shared" si="3"/>
        <v>0</v>
      </c>
      <c r="S27" s="571">
        <f t="shared" si="3"/>
        <v>0</v>
      </c>
    </row>
    <row r="28" spans="1:19" ht="15" x14ac:dyDescent="0.25">
      <c r="A28" s="95"/>
      <c r="B28" s="122"/>
      <c r="C28" s="128"/>
      <c r="D28" s="55"/>
      <c r="E28" s="56"/>
      <c r="F28" s="56"/>
      <c r="G28" s="124"/>
      <c r="H28" s="601"/>
      <c r="I28" s="56"/>
      <c r="J28" s="56"/>
      <c r="K28" s="571"/>
      <c r="L28" s="57"/>
      <c r="M28" s="56"/>
      <c r="N28" s="56"/>
      <c r="O28" s="571"/>
      <c r="P28" s="64"/>
      <c r="Q28" s="41"/>
      <c r="R28" s="41"/>
      <c r="S28" s="569"/>
    </row>
    <row r="29" spans="1:19" ht="15" x14ac:dyDescent="0.25">
      <c r="A29" s="60"/>
      <c r="B29" s="122"/>
      <c r="C29" s="100"/>
      <c r="D29" s="63"/>
      <c r="E29" s="41"/>
      <c r="F29" s="41"/>
      <c r="G29" s="123"/>
      <c r="H29" s="65"/>
      <c r="I29" s="41"/>
      <c r="J29" s="41"/>
      <c r="K29" s="569"/>
      <c r="L29" s="64"/>
      <c r="M29" s="41"/>
      <c r="N29" s="41"/>
      <c r="O29" s="569"/>
      <c r="P29" s="64"/>
      <c r="Q29" s="41"/>
      <c r="R29" s="41"/>
      <c r="S29" s="569"/>
    </row>
    <row r="30" spans="1:19" ht="15" x14ac:dyDescent="0.25">
      <c r="A30" s="95">
        <v>104</v>
      </c>
      <c r="B30" s="129"/>
      <c r="C30" s="59" t="s">
        <v>29</v>
      </c>
      <c r="D30" s="133"/>
      <c r="E30" s="134"/>
      <c r="F30" s="134"/>
      <c r="G30" s="135"/>
      <c r="H30" s="603"/>
      <c r="I30" s="134"/>
      <c r="J30" s="134"/>
      <c r="K30" s="573"/>
      <c r="L30" s="136"/>
      <c r="M30" s="134"/>
      <c r="N30" s="134"/>
      <c r="O30" s="573"/>
      <c r="P30" s="87"/>
      <c r="Q30" s="86"/>
      <c r="R30" s="86"/>
      <c r="S30" s="574"/>
    </row>
    <row r="31" spans="1:19" ht="15" x14ac:dyDescent="0.25">
      <c r="A31" s="60"/>
      <c r="B31" s="122" t="s">
        <v>7</v>
      </c>
      <c r="C31" s="100" t="s">
        <v>85</v>
      </c>
      <c r="D31" s="85"/>
      <c r="E31" s="86"/>
      <c r="F31" s="86"/>
      <c r="G31" s="127"/>
      <c r="H31" s="604"/>
      <c r="I31" s="86"/>
      <c r="J31" s="86"/>
      <c r="K31" s="574"/>
      <c r="L31" s="87"/>
      <c r="M31" s="86"/>
      <c r="N31" s="86"/>
      <c r="O31" s="574"/>
      <c r="P31" s="87"/>
      <c r="Q31" s="86"/>
      <c r="R31" s="86"/>
      <c r="S31" s="574"/>
    </row>
    <row r="32" spans="1:19" ht="30" x14ac:dyDescent="0.25">
      <c r="A32" s="60"/>
      <c r="B32" s="122"/>
      <c r="C32" s="97" t="s">
        <v>297</v>
      </c>
      <c r="D32" s="85">
        <v>10000</v>
      </c>
      <c r="E32" s="86">
        <v>10000</v>
      </c>
      <c r="F32" s="86">
        <v>0</v>
      </c>
      <c r="G32" s="127">
        <v>0</v>
      </c>
      <c r="H32" s="604">
        <v>10000</v>
      </c>
      <c r="I32" s="86">
        <v>10000</v>
      </c>
      <c r="J32" s="86">
        <v>0</v>
      </c>
      <c r="K32" s="574">
        <v>0</v>
      </c>
      <c r="L32" s="87"/>
      <c r="M32" s="86"/>
      <c r="N32" s="86"/>
      <c r="O32" s="574"/>
      <c r="P32" s="87">
        <f t="shared" si="3"/>
        <v>10000</v>
      </c>
      <c r="Q32" s="86">
        <f t="shared" si="3"/>
        <v>10000</v>
      </c>
      <c r="R32" s="86">
        <f t="shared" si="3"/>
        <v>0</v>
      </c>
      <c r="S32" s="574">
        <f t="shared" si="3"/>
        <v>0</v>
      </c>
    </row>
    <row r="33" spans="1:19" ht="15" x14ac:dyDescent="0.25">
      <c r="A33" s="125"/>
      <c r="B33" s="126"/>
      <c r="C33" s="97" t="s">
        <v>298</v>
      </c>
      <c r="D33" s="85">
        <v>6000</v>
      </c>
      <c r="E33" s="86">
        <v>6000</v>
      </c>
      <c r="F33" s="86">
        <v>0</v>
      </c>
      <c r="G33" s="127">
        <v>0</v>
      </c>
      <c r="H33" s="604">
        <v>6000</v>
      </c>
      <c r="I33" s="86">
        <v>6000</v>
      </c>
      <c r="J33" s="86">
        <v>0</v>
      </c>
      <c r="K33" s="574">
        <v>0</v>
      </c>
      <c r="L33" s="87">
        <v>10600</v>
      </c>
      <c r="M33" s="86">
        <v>10600</v>
      </c>
      <c r="N33" s="86">
        <v>0</v>
      </c>
      <c r="O33" s="574">
        <v>0</v>
      </c>
      <c r="P33" s="87">
        <f t="shared" si="3"/>
        <v>16600</v>
      </c>
      <c r="Q33" s="86">
        <f t="shared" si="3"/>
        <v>16600</v>
      </c>
      <c r="R33" s="86">
        <f t="shared" si="3"/>
        <v>0</v>
      </c>
      <c r="S33" s="574">
        <f t="shared" si="3"/>
        <v>0</v>
      </c>
    </row>
    <row r="34" spans="1:19" ht="15" x14ac:dyDescent="0.25">
      <c r="A34" s="60"/>
      <c r="B34" s="130"/>
      <c r="C34" s="97" t="s">
        <v>165</v>
      </c>
      <c r="D34" s="85">
        <v>65000</v>
      </c>
      <c r="E34" s="86">
        <v>65000</v>
      </c>
      <c r="F34" s="86">
        <v>0</v>
      </c>
      <c r="G34" s="127">
        <v>0</v>
      </c>
      <c r="H34" s="604">
        <v>65000</v>
      </c>
      <c r="I34" s="86">
        <v>65000</v>
      </c>
      <c r="J34" s="86">
        <v>0</v>
      </c>
      <c r="K34" s="574">
        <v>0</v>
      </c>
      <c r="L34" s="87"/>
      <c r="M34" s="86"/>
      <c r="N34" s="86"/>
      <c r="O34" s="574"/>
      <c r="P34" s="87">
        <f t="shared" si="3"/>
        <v>65000</v>
      </c>
      <c r="Q34" s="86">
        <f t="shared" si="3"/>
        <v>65000</v>
      </c>
      <c r="R34" s="86">
        <f t="shared" si="3"/>
        <v>0</v>
      </c>
      <c r="S34" s="574">
        <f t="shared" si="3"/>
        <v>0</v>
      </c>
    </row>
    <row r="35" spans="1:19" ht="15" x14ac:dyDescent="0.25">
      <c r="A35" s="60"/>
      <c r="B35" s="130"/>
      <c r="C35" s="137" t="s">
        <v>166</v>
      </c>
      <c r="D35" s="85">
        <v>5800</v>
      </c>
      <c r="E35" s="86">
        <v>5800</v>
      </c>
      <c r="F35" s="86">
        <v>0</v>
      </c>
      <c r="G35" s="127">
        <v>0</v>
      </c>
      <c r="H35" s="604">
        <v>5800</v>
      </c>
      <c r="I35" s="86">
        <v>5800</v>
      </c>
      <c r="J35" s="86">
        <v>0</v>
      </c>
      <c r="K35" s="574">
        <v>0</v>
      </c>
      <c r="L35" s="87"/>
      <c r="M35" s="86"/>
      <c r="N35" s="86"/>
      <c r="O35" s="574"/>
      <c r="P35" s="87">
        <f t="shared" si="3"/>
        <v>5800</v>
      </c>
      <c r="Q35" s="86">
        <f t="shared" si="3"/>
        <v>5800</v>
      </c>
      <c r="R35" s="86">
        <f t="shared" si="3"/>
        <v>0</v>
      </c>
      <c r="S35" s="574">
        <f t="shared" si="3"/>
        <v>0</v>
      </c>
    </row>
    <row r="36" spans="1:19" ht="15" x14ac:dyDescent="0.25">
      <c r="A36" s="60"/>
      <c r="B36" s="130"/>
      <c r="C36" s="138" t="s">
        <v>167</v>
      </c>
      <c r="D36" s="85">
        <v>4500</v>
      </c>
      <c r="E36" s="86">
        <v>4500</v>
      </c>
      <c r="F36" s="86">
        <v>0</v>
      </c>
      <c r="G36" s="127">
        <v>0</v>
      </c>
      <c r="H36" s="604">
        <v>4500</v>
      </c>
      <c r="I36" s="86">
        <v>4500</v>
      </c>
      <c r="J36" s="86">
        <v>0</v>
      </c>
      <c r="K36" s="574">
        <v>0</v>
      </c>
      <c r="L36" s="87"/>
      <c r="M36" s="86"/>
      <c r="N36" s="86"/>
      <c r="O36" s="574"/>
      <c r="P36" s="87">
        <f t="shared" si="3"/>
        <v>4500</v>
      </c>
      <c r="Q36" s="86">
        <f t="shared" si="3"/>
        <v>4500</v>
      </c>
      <c r="R36" s="86">
        <f t="shared" si="3"/>
        <v>0</v>
      </c>
      <c r="S36" s="574">
        <f t="shared" si="3"/>
        <v>0</v>
      </c>
    </row>
    <row r="37" spans="1:19" ht="15" x14ac:dyDescent="0.25">
      <c r="A37" s="60"/>
      <c r="B37" s="130"/>
      <c r="C37" s="138" t="s">
        <v>168</v>
      </c>
      <c r="D37" s="85">
        <v>29592</v>
      </c>
      <c r="E37" s="86">
        <v>29592</v>
      </c>
      <c r="F37" s="86">
        <v>0</v>
      </c>
      <c r="G37" s="127">
        <v>0</v>
      </c>
      <c r="H37" s="604">
        <v>29592</v>
      </c>
      <c r="I37" s="86">
        <v>29592</v>
      </c>
      <c r="J37" s="86">
        <v>0</v>
      </c>
      <c r="K37" s="574">
        <v>0</v>
      </c>
      <c r="L37" s="87"/>
      <c r="M37" s="86"/>
      <c r="N37" s="86"/>
      <c r="O37" s="574"/>
      <c r="P37" s="87">
        <f t="shared" si="3"/>
        <v>29592</v>
      </c>
      <c r="Q37" s="86">
        <f t="shared" si="3"/>
        <v>29592</v>
      </c>
      <c r="R37" s="86">
        <f t="shared" si="3"/>
        <v>0</v>
      </c>
      <c r="S37" s="574">
        <f t="shared" si="3"/>
        <v>0</v>
      </c>
    </row>
    <row r="38" spans="1:19" ht="15" x14ac:dyDescent="0.25">
      <c r="A38" s="60"/>
      <c r="B38" s="130"/>
      <c r="C38" s="138" t="s">
        <v>169</v>
      </c>
      <c r="D38" s="85">
        <v>11000</v>
      </c>
      <c r="E38" s="86">
        <v>0</v>
      </c>
      <c r="F38" s="86">
        <v>11000</v>
      </c>
      <c r="G38" s="127">
        <v>0</v>
      </c>
      <c r="H38" s="604">
        <v>11000</v>
      </c>
      <c r="I38" s="86">
        <v>0</v>
      </c>
      <c r="J38" s="86">
        <v>11000</v>
      </c>
      <c r="K38" s="574">
        <v>0</v>
      </c>
      <c r="L38" s="87"/>
      <c r="M38" s="86"/>
      <c r="N38" s="86"/>
      <c r="O38" s="574"/>
      <c r="P38" s="87">
        <f t="shared" si="3"/>
        <v>11000</v>
      </c>
      <c r="Q38" s="86">
        <f t="shared" si="3"/>
        <v>0</v>
      </c>
      <c r="R38" s="86">
        <f t="shared" si="3"/>
        <v>11000</v>
      </c>
      <c r="S38" s="574">
        <f t="shared" si="3"/>
        <v>0</v>
      </c>
    </row>
    <row r="39" spans="1:19" ht="15" x14ac:dyDescent="0.25">
      <c r="A39" s="125"/>
      <c r="B39" s="126"/>
      <c r="C39" s="97" t="s">
        <v>170</v>
      </c>
      <c r="D39" s="85">
        <v>1200</v>
      </c>
      <c r="E39" s="86">
        <v>0</v>
      </c>
      <c r="F39" s="86">
        <v>1200</v>
      </c>
      <c r="G39" s="127">
        <v>0</v>
      </c>
      <c r="H39" s="604">
        <v>1200</v>
      </c>
      <c r="I39" s="86">
        <v>0</v>
      </c>
      <c r="J39" s="86">
        <v>1200</v>
      </c>
      <c r="K39" s="574">
        <v>0</v>
      </c>
      <c r="L39" s="87"/>
      <c r="M39" s="86"/>
      <c r="N39" s="86"/>
      <c r="O39" s="574"/>
      <c r="P39" s="87">
        <f t="shared" si="3"/>
        <v>1200</v>
      </c>
      <c r="Q39" s="86">
        <f t="shared" si="3"/>
        <v>0</v>
      </c>
      <c r="R39" s="86">
        <f t="shared" si="3"/>
        <v>1200</v>
      </c>
      <c r="S39" s="574">
        <f t="shared" si="3"/>
        <v>0</v>
      </c>
    </row>
    <row r="40" spans="1:19" ht="15" x14ac:dyDescent="0.25">
      <c r="A40" s="125"/>
      <c r="B40" s="126"/>
      <c r="C40" s="97" t="s">
        <v>178</v>
      </c>
      <c r="D40" s="85">
        <v>5000</v>
      </c>
      <c r="E40" s="86">
        <v>0</v>
      </c>
      <c r="F40" s="86">
        <v>5000</v>
      </c>
      <c r="G40" s="127">
        <v>0</v>
      </c>
      <c r="H40" s="604">
        <v>5000</v>
      </c>
      <c r="I40" s="86">
        <v>0</v>
      </c>
      <c r="J40" s="86">
        <v>5000</v>
      </c>
      <c r="K40" s="574">
        <v>0</v>
      </c>
      <c r="L40" s="87"/>
      <c r="M40" s="86"/>
      <c r="N40" s="86"/>
      <c r="O40" s="574"/>
      <c r="P40" s="87">
        <f t="shared" si="3"/>
        <v>5000</v>
      </c>
      <c r="Q40" s="86">
        <f t="shared" si="3"/>
        <v>0</v>
      </c>
      <c r="R40" s="86">
        <f t="shared" si="3"/>
        <v>5000</v>
      </c>
      <c r="S40" s="574">
        <f t="shared" si="3"/>
        <v>0</v>
      </c>
    </row>
    <row r="41" spans="1:19" ht="15" x14ac:dyDescent="0.25">
      <c r="A41" s="125"/>
      <c r="B41" s="126"/>
      <c r="C41" s="97" t="s">
        <v>299</v>
      </c>
      <c r="D41" s="85">
        <v>45792</v>
      </c>
      <c r="E41" s="86">
        <v>45792</v>
      </c>
      <c r="F41" s="86">
        <v>0</v>
      </c>
      <c r="G41" s="127">
        <v>0</v>
      </c>
      <c r="H41" s="604">
        <v>59482</v>
      </c>
      <c r="I41" s="86">
        <v>59482</v>
      </c>
      <c r="J41" s="86">
        <v>0</v>
      </c>
      <c r="K41" s="574">
        <v>0</v>
      </c>
      <c r="L41" s="87"/>
      <c r="M41" s="86"/>
      <c r="N41" s="86"/>
      <c r="O41" s="574"/>
      <c r="P41" s="87">
        <f t="shared" si="3"/>
        <v>59482</v>
      </c>
      <c r="Q41" s="86">
        <f t="shared" si="3"/>
        <v>59482</v>
      </c>
      <c r="R41" s="86">
        <f t="shared" si="3"/>
        <v>0</v>
      </c>
      <c r="S41" s="574">
        <f t="shared" si="3"/>
        <v>0</v>
      </c>
    </row>
    <row r="42" spans="1:19" ht="15" x14ac:dyDescent="0.25">
      <c r="A42" s="125"/>
      <c r="B42" s="126"/>
      <c r="C42" s="97" t="s">
        <v>960</v>
      </c>
      <c r="D42" s="85"/>
      <c r="E42" s="86"/>
      <c r="F42" s="86"/>
      <c r="G42" s="127"/>
      <c r="H42" s="604">
        <v>25616</v>
      </c>
      <c r="I42" s="86">
        <v>25616</v>
      </c>
      <c r="J42" s="86">
        <v>0</v>
      </c>
      <c r="K42" s="574">
        <v>0</v>
      </c>
      <c r="L42" s="87">
        <v>4765</v>
      </c>
      <c r="M42" s="86">
        <v>4765</v>
      </c>
      <c r="N42" s="86">
        <v>0</v>
      </c>
      <c r="O42" s="574">
        <v>0</v>
      </c>
      <c r="P42" s="87">
        <f t="shared" si="3"/>
        <v>30381</v>
      </c>
      <c r="Q42" s="86">
        <f t="shared" si="3"/>
        <v>30381</v>
      </c>
      <c r="R42" s="86">
        <f t="shared" si="3"/>
        <v>0</v>
      </c>
      <c r="S42" s="574">
        <f t="shared" si="3"/>
        <v>0</v>
      </c>
    </row>
    <row r="43" spans="1:19" ht="15" x14ac:dyDescent="0.25">
      <c r="A43" s="125"/>
      <c r="B43" s="126"/>
      <c r="C43" s="97" t="s">
        <v>992</v>
      </c>
      <c r="D43" s="85"/>
      <c r="E43" s="86"/>
      <c r="F43" s="86"/>
      <c r="G43" s="127"/>
      <c r="H43" s="604"/>
      <c r="I43" s="86"/>
      <c r="J43" s="86"/>
      <c r="K43" s="574"/>
      <c r="L43" s="87">
        <v>1016</v>
      </c>
      <c r="M43" s="86">
        <v>0</v>
      </c>
      <c r="N43" s="86">
        <v>1016</v>
      </c>
      <c r="O43" s="574">
        <v>0</v>
      </c>
      <c r="P43" s="87">
        <f t="shared" si="3"/>
        <v>1016</v>
      </c>
      <c r="Q43" s="86">
        <f t="shared" si="3"/>
        <v>0</v>
      </c>
      <c r="R43" s="86">
        <f t="shared" si="3"/>
        <v>1016</v>
      </c>
      <c r="S43" s="574">
        <f t="shared" si="3"/>
        <v>0</v>
      </c>
    </row>
    <row r="44" spans="1:19" ht="15" x14ac:dyDescent="0.25">
      <c r="A44" s="60"/>
      <c r="B44" s="130"/>
      <c r="C44" s="138"/>
      <c r="D44" s="85"/>
      <c r="E44" s="86"/>
      <c r="F44" s="86"/>
      <c r="G44" s="127"/>
      <c r="H44" s="604"/>
      <c r="I44" s="86"/>
      <c r="J44" s="86"/>
      <c r="K44" s="574"/>
      <c r="L44" s="87"/>
      <c r="M44" s="86"/>
      <c r="N44" s="86"/>
      <c r="O44" s="574"/>
      <c r="P44" s="87"/>
      <c r="Q44" s="86"/>
      <c r="R44" s="86"/>
      <c r="S44" s="574"/>
    </row>
    <row r="45" spans="1:19" ht="15" x14ac:dyDescent="0.25">
      <c r="A45" s="60"/>
      <c r="B45" s="122"/>
      <c r="C45" s="139" t="s">
        <v>32</v>
      </c>
      <c r="D45" s="140">
        <f t="shared" ref="D45:G45" si="10">SUM(D32:D44)</f>
        <v>183884</v>
      </c>
      <c r="E45" s="141">
        <f t="shared" si="10"/>
        <v>166684</v>
      </c>
      <c r="F45" s="141">
        <f t="shared" si="10"/>
        <v>17200</v>
      </c>
      <c r="G45" s="142">
        <f t="shared" si="10"/>
        <v>0</v>
      </c>
      <c r="H45" s="605">
        <v>223190</v>
      </c>
      <c r="I45" s="141">
        <v>205990</v>
      </c>
      <c r="J45" s="141">
        <v>17200</v>
      </c>
      <c r="K45" s="575">
        <v>0</v>
      </c>
      <c r="L45" s="143">
        <f t="shared" ref="L45:O45" si="11">SUM(L32:L44)</f>
        <v>16381</v>
      </c>
      <c r="M45" s="141">
        <f t="shared" si="11"/>
        <v>15365</v>
      </c>
      <c r="N45" s="141">
        <f t="shared" si="11"/>
        <v>1016</v>
      </c>
      <c r="O45" s="575">
        <f t="shared" si="11"/>
        <v>0</v>
      </c>
      <c r="P45" s="143">
        <f t="shared" si="3"/>
        <v>239571</v>
      </c>
      <c r="Q45" s="141">
        <f t="shared" si="3"/>
        <v>221355</v>
      </c>
      <c r="R45" s="141">
        <f t="shared" si="3"/>
        <v>18216</v>
      </c>
      <c r="S45" s="575">
        <f t="shared" si="3"/>
        <v>0</v>
      </c>
    </row>
    <row r="46" spans="1:19" ht="15" x14ac:dyDescent="0.25">
      <c r="A46" s="60"/>
      <c r="B46" s="122"/>
      <c r="C46" s="97"/>
      <c r="D46" s="85"/>
      <c r="E46" s="86"/>
      <c r="F46" s="86"/>
      <c r="G46" s="127"/>
      <c r="H46" s="604"/>
      <c r="I46" s="86"/>
      <c r="J46" s="86"/>
      <c r="K46" s="574"/>
      <c r="L46" s="87"/>
      <c r="M46" s="86"/>
      <c r="N46" s="86"/>
      <c r="O46" s="574"/>
      <c r="P46" s="87"/>
      <c r="Q46" s="86"/>
      <c r="R46" s="86"/>
      <c r="S46" s="574"/>
    </row>
    <row r="47" spans="1:19" ht="15" x14ac:dyDescent="0.25">
      <c r="A47" s="60"/>
      <c r="B47" s="122" t="s">
        <v>11</v>
      </c>
      <c r="C47" s="97" t="s">
        <v>55</v>
      </c>
      <c r="D47" s="85"/>
      <c r="E47" s="86"/>
      <c r="F47" s="86"/>
      <c r="G47" s="127"/>
      <c r="H47" s="604"/>
      <c r="I47" s="86"/>
      <c r="J47" s="86"/>
      <c r="K47" s="574"/>
      <c r="L47" s="87"/>
      <c r="M47" s="86"/>
      <c r="N47" s="86"/>
      <c r="O47" s="574"/>
      <c r="P47" s="87"/>
      <c r="Q47" s="86"/>
      <c r="R47" s="86"/>
      <c r="S47" s="574"/>
    </row>
    <row r="48" spans="1:19" ht="15" x14ac:dyDescent="0.25">
      <c r="A48" s="60"/>
      <c r="B48" s="122"/>
      <c r="C48" s="97" t="s">
        <v>57</v>
      </c>
      <c r="D48" s="85"/>
      <c r="E48" s="86"/>
      <c r="F48" s="86"/>
      <c r="G48" s="127"/>
      <c r="H48" s="604"/>
      <c r="I48" s="86"/>
      <c r="J48" s="86"/>
      <c r="K48" s="574"/>
      <c r="L48" s="87"/>
      <c r="M48" s="86"/>
      <c r="N48" s="86"/>
      <c r="O48" s="574"/>
      <c r="P48" s="87"/>
      <c r="Q48" s="86"/>
      <c r="R48" s="86"/>
      <c r="S48" s="574"/>
    </row>
    <row r="49" spans="1:19" ht="15" x14ac:dyDescent="0.25">
      <c r="A49" s="60"/>
      <c r="B49" s="122"/>
      <c r="C49" s="97" t="s">
        <v>65</v>
      </c>
      <c r="D49" s="85">
        <v>66000</v>
      </c>
      <c r="E49" s="86">
        <v>66000</v>
      </c>
      <c r="F49" s="86">
        <v>0</v>
      </c>
      <c r="G49" s="127">
        <v>0</v>
      </c>
      <c r="H49" s="604">
        <v>66000</v>
      </c>
      <c r="I49" s="86">
        <v>66000</v>
      </c>
      <c r="J49" s="86">
        <v>0</v>
      </c>
      <c r="K49" s="574">
        <v>0</v>
      </c>
      <c r="L49" s="87"/>
      <c r="M49" s="86"/>
      <c r="N49" s="86"/>
      <c r="O49" s="574"/>
      <c r="P49" s="87">
        <f t="shared" si="3"/>
        <v>66000</v>
      </c>
      <c r="Q49" s="86">
        <f t="shared" si="3"/>
        <v>66000</v>
      </c>
      <c r="R49" s="86">
        <f t="shared" si="3"/>
        <v>0</v>
      </c>
      <c r="S49" s="574">
        <f t="shared" si="3"/>
        <v>0</v>
      </c>
    </row>
    <row r="50" spans="1:19" ht="15" x14ac:dyDescent="0.25">
      <c r="A50" s="60"/>
      <c r="B50" s="122"/>
      <c r="C50" s="97" t="s">
        <v>63</v>
      </c>
      <c r="D50" s="85">
        <v>134000</v>
      </c>
      <c r="E50" s="86">
        <v>134000</v>
      </c>
      <c r="F50" s="86">
        <v>0</v>
      </c>
      <c r="G50" s="127">
        <v>0</v>
      </c>
      <c r="H50" s="604">
        <v>134000</v>
      </c>
      <c r="I50" s="86">
        <v>134000</v>
      </c>
      <c r="J50" s="86">
        <v>0</v>
      </c>
      <c r="K50" s="574">
        <v>0</v>
      </c>
      <c r="L50" s="87"/>
      <c r="M50" s="86"/>
      <c r="N50" s="86"/>
      <c r="O50" s="574"/>
      <c r="P50" s="87">
        <f t="shared" si="3"/>
        <v>134000</v>
      </c>
      <c r="Q50" s="86">
        <f t="shared" si="3"/>
        <v>134000</v>
      </c>
      <c r="R50" s="86">
        <f t="shared" si="3"/>
        <v>0</v>
      </c>
      <c r="S50" s="574">
        <f t="shared" si="3"/>
        <v>0</v>
      </c>
    </row>
    <row r="51" spans="1:19" ht="15" x14ac:dyDescent="0.25">
      <c r="A51" s="125"/>
      <c r="B51" s="126"/>
      <c r="C51" s="97" t="s">
        <v>64</v>
      </c>
      <c r="D51" s="85">
        <v>12000</v>
      </c>
      <c r="E51" s="86">
        <v>12000</v>
      </c>
      <c r="F51" s="86">
        <v>0</v>
      </c>
      <c r="G51" s="127">
        <v>0</v>
      </c>
      <c r="H51" s="604">
        <v>12000</v>
      </c>
      <c r="I51" s="86">
        <v>12000</v>
      </c>
      <c r="J51" s="86">
        <v>0</v>
      </c>
      <c r="K51" s="574">
        <v>0</v>
      </c>
      <c r="L51" s="87"/>
      <c r="M51" s="86"/>
      <c r="N51" s="86"/>
      <c r="O51" s="574"/>
      <c r="P51" s="87">
        <f t="shared" si="3"/>
        <v>12000</v>
      </c>
      <c r="Q51" s="86">
        <f t="shared" si="3"/>
        <v>12000</v>
      </c>
      <c r="R51" s="86">
        <f t="shared" si="3"/>
        <v>0</v>
      </c>
      <c r="S51" s="574">
        <f t="shared" si="3"/>
        <v>0</v>
      </c>
    </row>
    <row r="52" spans="1:19" ht="15" x14ac:dyDescent="0.25">
      <c r="A52" s="125"/>
      <c r="B52" s="126"/>
      <c r="C52" s="97" t="s">
        <v>66</v>
      </c>
      <c r="D52" s="85">
        <f>687000+98066+93093</f>
        <v>878159</v>
      </c>
      <c r="E52" s="86">
        <v>878159</v>
      </c>
      <c r="F52" s="86">
        <v>0</v>
      </c>
      <c r="G52" s="127">
        <v>0</v>
      </c>
      <c r="H52" s="604">
        <v>878159</v>
      </c>
      <c r="I52" s="86">
        <v>878159</v>
      </c>
      <c r="J52" s="86">
        <v>0</v>
      </c>
      <c r="K52" s="574">
        <v>0</v>
      </c>
      <c r="L52" s="87">
        <v>-64906</v>
      </c>
      <c r="M52" s="86">
        <v>-64906</v>
      </c>
      <c r="N52" s="86"/>
      <c r="O52" s="574"/>
      <c r="P52" s="87">
        <f t="shared" si="3"/>
        <v>813253</v>
      </c>
      <c r="Q52" s="86">
        <f t="shared" si="3"/>
        <v>813253</v>
      </c>
      <c r="R52" s="86">
        <f t="shared" si="3"/>
        <v>0</v>
      </c>
      <c r="S52" s="574">
        <f t="shared" si="3"/>
        <v>0</v>
      </c>
    </row>
    <row r="53" spans="1:19" ht="15" x14ac:dyDescent="0.25">
      <c r="A53" s="60"/>
      <c r="B53" s="122"/>
      <c r="C53" s="144" t="s">
        <v>24</v>
      </c>
      <c r="D53" s="140">
        <f t="shared" ref="D53:G53" si="12">SUM(D49:D52)</f>
        <v>1090159</v>
      </c>
      <c r="E53" s="141">
        <f t="shared" si="12"/>
        <v>1090159</v>
      </c>
      <c r="F53" s="141">
        <f t="shared" si="12"/>
        <v>0</v>
      </c>
      <c r="G53" s="142">
        <f t="shared" si="12"/>
        <v>0</v>
      </c>
      <c r="H53" s="605">
        <v>1090159</v>
      </c>
      <c r="I53" s="141">
        <v>1090159</v>
      </c>
      <c r="J53" s="141">
        <v>0</v>
      </c>
      <c r="K53" s="575">
        <v>0</v>
      </c>
      <c r="L53" s="143">
        <f t="shared" ref="L53:O53" si="13">SUM(L49:L52)</f>
        <v>-64906</v>
      </c>
      <c r="M53" s="141">
        <f t="shared" si="13"/>
        <v>-64906</v>
      </c>
      <c r="N53" s="141">
        <f t="shared" si="13"/>
        <v>0</v>
      </c>
      <c r="O53" s="575">
        <f t="shared" si="13"/>
        <v>0</v>
      </c>
      <c r="P53" s="143">
        <f t="shared" si="3"/>
        <v>1025253</v>
      </c>
      <c r="Q53" s="141">
        <f t="shared" si="3"/>
        <v>1025253</v>
      </c>
      <c r="R53" s="141">
        <f t="shared" si="3"/>
        <v>0</v>
      </c>
      <c r="S53" s="575">
        <f t="shared" si="3"/>
        <v>0</v>
      </c>
    </row>
    <row r="54" spans="1:19" ht="15" x14ac:dyDescent="0.25">
      <c r="A54" s="60"/>
      <c r="B54" s="122"/>
      <c r="C54" s="144"/>
      <c r="D54" s="145"/>
      <c r="E54" s="146"/>
      <c r="F54" s="146"/>
      <c r="G54" s="147"/>
      <c r="H54" s="606"/>
      <c r="I54" s="146"/>
      <c r="J54" s="146"/>
      <c r="K54" s="576"/>
      <c r="L54" s="148"/>
      <c r="M54" s="146"/>
      <c r="N54" s="146"/>
      <c r="O54" s="576"/>
      <c r="P54" s="87"/>
      <c r="Q54" s="86"/>
      <c r="R54" s="86"/>
      <c r="S54" s="574"/>
    </row>
    <row r="55" spans="1:19" ht="15" x14ac:dyDescent="0.25">
      <c r="A55" s="68"/>
      <c r="B55" s="130"/>
      <c r="C55" s="97" t="s">
        <v>171</v>
      </c>
      <c r="D55" s="85"/>
      <c r="E55" s="86"/>
      <c r="F55" s="86"/>
      <c r="G55" s="127"/>
      <c r="H55" s="604"/>
      <c r="I55" s="86"/>
      <c r="J55" s="86"/>
      <c r="K55" s="574"/>
      <c r="L55" s="87"/>
      <c r="M55" s="86"/>
      <c r="N55" s="86"/>
      <c r="O55" s="574"/>
      <c r="P55" s="87"/>
      <c r="Q55" s="86"/>
      <c r="R55" s="86"/>
      <c r="S55" s="574"/>
    </row>
    <row r="56" spans="1:19" ht="15" x14ac:dyDescent="0.25">
      <c r="A56" s="125"/>
      <c r="B56" s="126"/>
      <c r="C56" s="97" t="s">
        <v>172</v>
      </c>
      <c r="D56" s="85">
        <v>4000</v>
      </c>
      <c r="E56" s="86">
        <v>4000</v>
      </c>
      <c r="F56" s="86">
        <v>0</v>
      </c>
      <c r="G56" s="127">
        <v>0</v>
      </c>
      <c r="H56" s="604">
        <v>4000</v>
      </c>
      <c r="I56" s="86">
        <v>4000</v>
      </c>
      <c r="J56" s="86">
        <v>0</v>
      </c>
      <c r="K56" s="574">
        <v>0</v>
      </c>
      <c r="L56" s="87"/>
      <c r="M56" s="86"/>
      <c r="N56" s="86"/>
      <c r="O56" s="574"/>
      <c r="P56" s="87">
        <f t="shared" si="3"/>
        <v>4000</v>
      </c>
      <c r="Q56" s="86">
        <f t="shared" si="3"/>
        <v>4000</v>
      </c>
      <c r="R56" s="86">
        <f t="shared" si="3"/>
        <v>0</v>
      </c>
      <c r="S56" s="574">
        <f t="shared" si="3"/>
        <v>0</v>
      </c>
    </row>
    <row r="57" spans="1:19" ht="15" x14ac:dyDescent="0.25">
      <c r="A57" s="68"/>
      <c r="B57" s="130"/>
      <c r="C57" s="138" t="s">
        <v>173</v>
      </c>
      <c r="D57" s="85">
        <v>4000</v>
      </c>
      <c r="E57" s="86">
        <v>4000</v>
      </c>
      <c r="F57" s="86">
        <v>0</v>
      </c>
      <c r="G57" s="127">
        <v>0</v>
      </c>
      <c r="H57" s="604">
        <v>4000</v>
      </c>
      <c r="I57" s="86">
        <v>4000</v>
      </c>
      <c r="J57" s="86">
        <v>0</v>
      </c>
      <c r="K57" s="574">
        <v>0</v>
      </c>
      <c r="L57" s="87"/>
      <c r="M57" s="86"/>
      <c r="N57" s="86"/>
      <c r="O57" s="574"/>
      <c r="P57" s="87">
        <f t="shared" si="3"/>
        <v>4000</v>
      </c>
      <c r="Q57" s="86">
        <f t="shared" si="3"/>
        <v>4000</v>
      </c>
      <c r="R57" s="86">
        <f t="shared" si="3"/>
        <v>0</v>
      </c>
      <c r="S57" s="574">
        <f t="shared" si="3"/>
        <v>0</v>
      </c>
    </row>
    <row r="58" spans="1:19" ht="15" x14ac:dyDescent="0.25">
      <c r="A58" s="149"/>
      <c r="B58" s="130"/>
      <c r="C58" s="144" t="s">
        <v>24</v>
      </c>
      <c r="D58" s="145">
        <f t="shared" ref="D58:G58" si="14">SUM(D56:D57)</f>
        <v>8000</v>
      </c>
      <c r="E58" s="146">
        <f t="shared" si="14"/>
        <v>8000</v>
      </c>
      <c r="F58" s="146">
        <f t="shared" si="14"/>
        <v>0</v>
      </c>
      <c r="G58" s="147">
        <f t="shared" si="14"/>
        <v>0</v>
      </c>
      <c r="H58" s="606">
        <v>8000</v>
      </c>
      <c r="I58" s="146">
        <v>8000</v>
      </c>
      <c r="J58" s="146">
        <v>0</v>
      </c>
      <c r="K58" s="576">
        <v>0</v>
      </c>
      <c r="L58" s="148">
        <f t="shared" ref="L58:O58" si="15">SUM(L56:L57)</f>
        <v>0</v>
      </c>
      <c r="M58" s="146">
        <f t="shared" si="15"/>
        <v>0</v>
      </c>
      <c r="N58" s="146">
        <f t="shared" si="15"/>
        <v>0</v>
      </c>
      <c r="O58" s="576">
        <f t="shared" si="15"/>
        <v>0</v>
      </c>
      <c r="P58" s="148">
        <f t="shared" si="3"/>
        <v>8000</v>
      </c>
      <c r="Q58" s="146">
        <f t="shared" si="3"/>
        <v>8000</v>
      </c>
      <c r="R58" s="146">
        <f t="shared" si="3"/>
        <v>0</v>
      </c>
      <c r="S58" s="576">
        <f t="shared" si="3"/>
        <v>0</v>
      </c>
    </row>
    <row r="59" spans="1:19" ht="15" x14ac:dyDescent="0.25">
      <c r="A59" s="149"/>
      <c r="B59" s="130"/>
      <c r="C59" s="144"/>
      <c r="D59" s="145"/>
      <c r="E59" s="146"/>
      <c r="F59" s="146"/>
      <c r="G59" s="147"/>
      <c r="H59" s="606"/>
      <c r="I59" s="146"/>
      <c r="J59" s="146"/>
      <c r="K59" s="576"/>
      <c r="L59" s="148"/>
      <c r="M59" s="146"/>
      <c r="N59" s="146"/>
      <c r="O59" s="576"/>
      <c r="P59" s="87"/>
      <c r="Q59" s="86"/>
      <c r="R59" s="86"/>
      <c r="S59" s="574"/>
    </row>
    <row r="60" spans="1:19" ht="15" x14ac:dyDescent="0.25">
      <c r="A60" s="60"/>
      <c r="B60" s="122"/>
      <c r="C60" s="139" t="s">
        <v>33</v>
      </c>
      <c r="D60" s="140">
        <f>D53+D58</f>
        <v>1098159</v>
      </c>
      <c r="E60" s="141">
        <f t="shared" ref="E60:G60" si="16">E53+E58</f>
        <v>1098159</v>
      </c>
      <c r="F60" s="141">
        <f t="shared" si="16"/>
        <v>0</v>
      </c>
      <c r="G60" s="142">
        <f t="shared" si="16"/>
        <v>0</v>
      </c>
      <c r="H60" s="605">
        <v>1098159</v>
      </c>
      <c r="I60" s="141">
        <v>1098159</v>
      </c>
      <c r="J60" s="141">
        <v>0</v>
      </c>
      <c r="K60" s="575">
        <v>0</v>
      </c>
      <c r="L60" s="143">
        <f>L53+L58</f>
        <v>-64906</v>
      </c>
      <c r="M60" s="141">
        <f t="shared" ref="M60:O60" si="17">M53+M58</f>
        <v>-64906</v>
      </c>
      <c r="N60" s="141">
        <f t="shared" si="17"/>
        <v>0</v>
      </c>
      <c r="O60" s="575">
        <f t="shared" si="17"/>
        <v>0</v>
      </c>
      <c r="P60" s="143">
        <f t="shared" si="3"/>
        <v>1033253</v>
      </c>
      <c r="Q60" s="141">
        <f t="shared" si="3"/>
        <v>1033253</v>
      </c>
      <c r="R60" s="141">
        <f t="shared" si="3"/>
        <v>0</v>
      </c>
      <c r="S60" s="575">
        <f t="shared" si="3"/>
        <v>0</v>
      </c>
    </row>
    <row r="61" spans="1:19" x14ac:dyDescent="0.25">
      <c r="A61" s="60"/>
      <c r="B61" s="150"/>
      <c r="C61" s="97"/>
      <c r="D61" s="85"/>
      <c r="E61" s="86"/>
      <c r="F61" s="86"/>
      <c r="G61" s="127"/>
      <c r="H61" s="604"/>
      <c r="I61" s="86"/>
      <c r="J61" s="86"/>
      <c r="K61" s="574"/>
      <c r="L61" s="87"/>
      <c r="M61" s="86"/>
      <c r="N61" s="86"/>
      <c r="O61" s="574"/>
      <c r="P61" s="87"/>
      <c r="Q61" s="86"/>
      <c r="R61" s="86"/>
      <c r="S61" s="574"/>
    </row>
    <row r="62" spans="1:19" ht="15" x14ac:dyDescent="0.25">
      <c r="A62" s="60"/>
      <c r="B62" s="122" t="s">
        <v>12</v>
      </c>
      <c r="C62" s="97" t="s">
        <v>26</v>
      </c>
      <c r="D62" s="85"/>
      <c r="E62" s="86"/>
      <c r="F62" s="86"/>
      <c r="G62" s="127"/>
      <c r="H62" s="604"/>
      <c r="I62" s="86"/>
      <c r="J62" s="86"/>
      <c r="K62" s="574"/>
      <c r="L62" s="87"/>
      <c r="M62" s="86"/>
      <c r="N62" s="86"/>
      <c r="O62" s="574"/>
      <c r="P62" s="87"/>
      <c r="Q62" s="86"/>
      <c r="R62" s="86"/>
      <c r="S62" s="574"/>
    </row>
    <row r="63" spans="1:19" ht="30" x14ac:dyDescent="0.25">
      <c r="A63" s="60"/>
      <c r="B63" s="122"/>
      <c r="C63" s="97" t="s">
        <v>31</v>
      </c>
      <c r="D63" s="63"/>
      <c r="E63" s="41"/>
      <c r="F63" s="41"/>
      <c r="G63" s="123"/>
      <c r="H63" s="65"/>
      <c r="I63" s="41"/>
      <c r="J63" s="41"/>
      <c r="K63" s="569"/>
      <c r="L63" s="64"/>
      <c r="M63" s="41"/>
      <c r="N63" s="41"/>
      <c r="O63" s="569"/>
      <c r="P63" s="64"/>
      <c r="Q63" s="41"/>
      <c r="R63" s="41"/>
      <c r="S63" s="569"/>
    </row>
    <row r="64" spans="1:19" ht="15" x14ac:dyDescent="0.25">
      <c r="A64" s="60"/>
      <c r="B64" s="122"/>
      <c r="C64" s="97" t="s">
        <v>133</v>
      </c>
      <c r="D64" s="63">
        <v>558418</v>
      </c>
      <c r="E64" s="41">
        <v>558418</v>
      </c>
      <c r="F64" s="41">
        <v>0</v>
      </c>
      <c r="G64" s="123">
        <v>0</v>
      </c>
      <c r="H64" s="65">
        <v>575829</v>
      </c>
      <c r="I64" s="41">
        <v>575829</v>
      </c>
      <c r="J64" s="41">
        <v>0</v>
      </c>
      <c r="K64" s="569">
        <v>0</v>
      </c>
      <c r="L64" s="64"/>
      <c r="M64" s="41"/>
      <c r="N64" s="41"/>
      <c r="O64" s="569"/>
      <c r="P64" s="64">
        <f t="shared" si="3"/>
        <v>575829</v>
      </c>
      <c r="Q64" s="41">
        <f t="shared" si="3"/>
        <v>575829</v>
      </c>
      <c r="R64" s="41">
        <f t="shared" si="3"/>
        <v>0</v>
      </c>
      <c r="S64" s="569">
        <f t="shared" si="3"/>
        <v>0</v>
      </c>
    </row>
    <row r="65" spans="1:19" ht="15" x14ac:dyDescent="0.25">
      <c r="A65" s="125"/>
      <c r="B65" s="126"/>
      <c r="C65" s="97" t="s">
        <v>134</v>
      </c>
      <c r="D65" s="63">
        <v>338519</v>
      </c>
      <c r="E65" s="41">
        <v>338519</v>
      </c>
      <c r="F65" s="86">
        <v>0</v>
      </c>
      <c r="G65" s="127">
        <v>0</v>
      </c>
      <c r="H65" s="604">
        <v>380091</v>
      </c>
      <c r="I65" s="86">
        <v>380091</v>
      </c>
      <c r="J65" s="86">
        <v>0</v>
      </c>
      <c r="K65" s="574">
        <v>0</v>
      </c>
      <c r="L65" s="64">
        <v>3833</v>
      </c>
      <c r="M65" s="41">
        <v>3833</v>
      </c>
      <c r="N65" s="86">
        <v>0</v>
      </c>
      <c r="O65" s="574">
        <v>0</v>
      </c>
      <c r="P65" s="64">
        <f t="shared" si="3"/>
        <v>383924</v>
      </c>
      <c r="Q65" s="41">
        <f t="shared" si="3"/>
        <v>383924</v>
      </c>
      <c r="R65" s="86">
        <f t="shared" si="3"/>
        <v>0</v>
      </c>
      <c r="S65" s="574">
        <f t="shared" si="3"/>
        <v>0</v>
      </c>
    </row>
    <row r="66" spans="1:19" ht="15" x14ac:dyDescent="0.25">
      <c r="A66" s="125"/>
      <c r="B66" s="126"/>
      <c r="C66" s="97" t="s">
        <v>242</v>
      </c>
      <c r="D66" s="63">
        <v>492535</v>
      </c>
      <c r="E66" s="41">
        <v>492535</v>
      </c>
      <c r="F66" s="41">
        <v>0</v>
      </c>
      <c r="G66" s="127">
        <v>0</v>
      </c>
      <c r="H66" s="604">
        <v>556607</v>
      </c>
      <c r="I66" s="86">
        <v>556607</v>
      </c>
      <c r="J66" s="86">
        <v>0</v>
      </c>
      <c r="K66" s="574">
        <v>0</v>
      </c>
      <c r="L66" s="64">
        <v>4073</v>
      </c>
      <c r="M66" s="41">
        <v>4073</v>
      </c>
      <c r="N66" s="41">
        <v>0</v>
      </c>
      <c r="O66" s="574">
        <v>0</v>
      </c>
      <c r="P66" s="64">
        <f t="shared" si="3"/>
        <v>560680</v>
      </c>
      <c r="Q66" s="41">
        <f t="shared" si="3"/>
        <v>560680</v>
      </c>
      <c r="R66" s="41">
        <f t="shared" si="3"/>
        <v>0</v>
      </c>
      <c r="S66" s="574">
        <f t="shared" si="3"/>
        <v>0</v>
      </c>
    </row>
    <row r="67" spans="1:19" ht="15" x14ac:dyDescent="0.25">
      <c r="A67" s="125"/>
      <c r="B67" s="126"/>
      <c r="C67" s="97" t="s">
        <v>961</v>
      </c>
      <c r="D67" s="63">
        <v>0</v>
      </c>
      <c r="E67" s="41">
        <v>0</v>
      </c>
      <c r="F67" s="41">
        <v>0</v>
      </c>
      <c r="G67" s="127">
        <v>0</v>
      </c>
      <c r="H67" s="604">
        <v>43904</v>
      </c>
      <c r="I67" s="86">
        <v>43904</v>
      </c>
      <c r="J67" s="86">
        <v>0</v>
      </c>
      <c r="K67" s="574">
        <v>0</v>
      </c>
      <c r="L67" s="64">
        <v>21714</v>
      </c>
      <c r="M67" s="41">
        <v>21714</v>
      </c>
      <c r="N67" s="41">
        <v>0</v>
      </c>
      <c r="O67" s="574">
        <v>0</v>
      </c>
      <c r="P67" s="64">
        <f t="shared" si="3"/>
        <v>65618</v>
      </c>
      <c r="Q67" s="41">
        <f t="shared" si="3"/>
        <v>65618</v>
      </c>
      <c r="R67" s="41">
        <f t="shared" si="3"/>
        <v>0</v>
      </c>
      <c r="S67" s="574">
        <f t="shared" si="3"/>
        <v>0</v>
      </c>
    </row>
    <row r="68" spans="1:19" ht="15" x14ac:dyDescent="0.25">
      <c r="A68" s="125"/>
      <c r="B68" s="126"/>
      <c r="C68" s="97" t="s">
        <v>962</v>
      </c>
      <c r="D68" s="63">
        <v>0</v>
      </c>
      <c r="E68" s="41">
        <v>0</v>
      </c>
      <c r="F68" s="41">
        <v>0</v>
      </c>
      <c r="G68" s="127">
        <v>0</v>
      </c>
      <c r="H68" s="604">
        <v>2776</v>
      </c>
      <c r="I68" s="86">
        <v>2776</v>
      </c>
      <c r="J68" s="86">
        <v>0</v>
      </c>
      <c r="K68" s="574">
        <v>0</v>
      </c>
      <c r="L68" s="64">
        <v>1476</v>
      </c>
      <c r="M68" s="41">
        <v>1476</v>
      </c>
      <c r="N68" s="41">
        <v>0</v>
      </c>
      <c r="O68" s="574">
        <v>0</v>
      </c>
      <c r="P68" s="64">
        <f t="shared" si="3"/>
        <v>4252</v>
      </c>
      <c r="Q68" s="41">
        <f t="shared" si="3"/>
        <v>4252</v>
      </c>
      <c r="R68" s="41">
        <f t="shared" si="3"/>
        <v>0</v>
      </c>
      <c r="S68" s="574">
        <f t="shared" si="3"/>
        <v>0</v>
      </c>
    </row>
    <row r="69" spans="1:19" ht="15" x14ac:dyDescent="0.25">
      <c r="A69" s="125"/>
      <c r="B69" s="126"/>
      <c r="C69" s="97" t="s">
        <v>243</v>
      </c>
      <c r="D69" s="63">
        <v>277645</v>
      </c>
      <c r="E69" s="41">
        <v>277645</v>
      </c>
      <c r="F69" s="41">
        <v>0</v>
      </c>
      <c r="G69" s="127">
        <v>0</v>
      </c>
      <c r="H69" s="604">
        <v>285049</v>
      </c>
      <c r="I69" s="86">
        <v>285049</v>
      </c>
      <c r="J69" s="86">
        <v>0</v>
      </c>
      <c r="K69" s="574">
        <v>0</v>
      </c>
      <c r="L69" s="64">
        <v>27393</v>
      </c>
      <c r="M69" s="41">
        <v>27393</v>
      </c>
      <c r="N69" s="41">
        <v>0</v>
      </c>
      <c r="O69" s="574">
        <v>0</v>
      </c>
      <c r="P69" s="64">
        <f t="shared" si="3"/>
        <v>312442</v>
      </c>
      <c r="Q69" s="41">
        <f t="shared" si="3"/>
        <v>312442</v>
      </c>
      <c r="R69" s="41">
        <f t="shared" si="3"/>
        <v>0</v>
      </c>
      <c r="S69" s="574">
        <f t="shared" si="3"/>
        <v>0</v>
      </c>
    </row>
    <row r="70" spans="1:19" ht="15" x14ac:dyDescent="0.25">
      <c r="A70" s="125"/>
      <c r="B70" s="126"/>
      <c r="C70" s="97" t="s">
        <v>244</v>
      </c>
      <c r="D70" s="63">
        <v>52852</v>
      </c>
      <c r="E70" s="41">
        <v>52852</v>
      </c>
      <c r="F70" s="86">
        <v>0</v>
      </c>
      <c r="G70" s="127">
        <v>0</v>
      </c>
      <c r="H70" s="604">
        <v>57788</v>
      </c>
      <c r="I70" s="86">
        <v>57788</v>
      </c>
      <c r="J70" s="86">
        <v>0</v>
      </c>
      <c r="K70" s="574">
        <v>0</v>
      </c>
      <c r="L70" s="64"/>
      <c r="M70" s="41"/>
      <c r="N70" s="86"/>
      <c r="O70" s="574"/>
      <c r="P70" s="64">
        <f t="shared" si="3"/>
        <v>57788</v>
      </c>
      <c r="Q70" s="41">
        <f t="shared" si="3"/>
        <v>57788</v>
      </c>
      <c r="R70" s="86">
        <f t="shared" si="3"/>
        <v>0</v>
      </c>
      <c r="S70" s="574">
        <f t="shared" si="3"/>
        <v>0</v>
      </c>
    </row>
    <row r="71" spans="1:19" ht="15" x14ac:dyDescent="0.25">
      <c r="A71" s="125"/>
      <c r="B71" s="126"/>
      <c r="C71" s="97" t="s">
        <v>993</v>
      </c>
      <c r="D71" s="63"/>
      <c r="E71" s="41"/>
      <c r="F71" s="86"/>
      <c r="G71" s="127"/>
      <c r="H71" s="604"/>
      <c r="I71" s="86"/>
      <c r="J71" s="86"/>
      <c r="K71" s="574"/>
      <c r="L71" s="64">
        <v>482</v>
      </c>
      <c r="M71" s="41">
        <v>482</v>
      </c>
      <c r="N71" s="86"/>
      <c r="O71" s="574"/>
      <c r="P71" s="64">
        <f t="shared" si="3"/>
        <v>482</v>
      </c>
      <c r="Q71" s="41">
        <f t="shared" si="3"/>
        <v>482</v>
      </c>
      <c r="R71" s="86">
        <f t="shared" si="3"/>
        <v>0</v>
      </c>
      <c r="S71" s="574">
        <f t="shared" si="3"/>
        <v>0</v>
      </c>
    </row>
    <row r="72" spans="1:19" ht="15" x14ac:dyDescent="0.25">
      <c r="A72" s="125"/>
      <c r="B72" s="126"/>
      <c r="C72" s="97"/>
      <c r="D72" s="85"/>
      <c r="E72" s="86"/>
      <c r="F72" s="86"/>
      <c r="G72" s="127"/>
      <c r="H72" s="604"/>
      <c r="I72" s="86"/>
      <c r="J72" s="86"/>
      <c r="K72" s="574"/>
      <c r="L72" s="87"/>
      <c r="M72" s="86"/>
      <c r="N72" s="86"/>
      <c r="O72" s="574"/>
      <c r="P72" s="87"/>
      <c r="Q72" s="86"/>
      <c r="R72" s="86"/>
      <c r="S72" s="574"/>
    </row>
    <row r="73" spans="1:19" ht="15" x14ac:dyDescent="0.25">
      <c r="A73" s="60"/>
      <c r="B73" s="122"/>
      <c r="C73" s="144" t="s">
        <v>24</v>
      </c>
      <c r="D73" s="70">
        <f t="shared" ref="D73:O73" si="18">SUM(D64:D72)</f>
        <v>1719969</v>
      </c>
      <c r="E73" s="71">
        <f t="shared" si="18"/>
        <v>1719969</v>
      </c>
      <c r="F73" s="71">
        <f t="shared" si="18"/>
        <v>0</v>
      </c>
      <c r="G73" s="132">
        <f t="shared" si="18"/>
        <v>0</v>
      </c>
      <c r="H73" s="602">
        <v>1902044</v>
      </c>
      <c r="I73" s="71">
        <v>1902044</v>
      </c>
      <c r="J73" s="71">
        <v>0</v>
      </c>
      <c r="K73" s="572">
        <v>0</v>
      </c>
      <c r="L73" s="72">
        <f t="shared" si="18"/>
        <v>58971</v>
      </c>
      <c r="M73" s="71">
        <f t="shared" si="18"/>
        <v>58971</v>
      </c>
      <c r="N73" s="71">
        <f t="shared" si="18"/>
        <v>0</v>
      </c>
      <c r="O73" s="572">
        <f t="shared" si="18"/>
        <v>0</v>
      </c>
      <c r="P73" s="72">
        <f t="shared" si="3"/>
        <v>1961015</v>
      </c>
      <c r="Q73" s="71">
        <f t="shared" si="3"/>
        <v>1961015</v>
      </c>
      <c r="R73" s="71">
        <f t="shared" si="3"/>
        <v>0</v>
      </c>
      <c r="S73" s="572">
        <f t="shared" si="3"/>
        <v>0</v>
      </c>
    </row>
    <row r="74" spans="1:19" ht="15" x14ac:dyDescent="0.25">
      <c r="A74" s="60"/>
      <c r="B74" s="122"/>
      <c r="C74" s="144"/>
      <c r="D74" s="70"/>
      <c r="E74" s="71"/>
      <c r="F74" s="71"/>
      <c r="G74" s="132"/>
      <c r="H74" s="602"/>
      <c r="I74" s="71"/>
      <c r="J74" s="71"/>
      <c r="K74" s="572"/>
      <c r="L74" s="72"/>
      <c r="M74" s="71"/>
      <c r="N74" s="71"/>
      <c r="O74" s="572"/>
      <c r="P74" s="72"/>
      <c r="Q74" s="71"/>
      <c r="R74" s="71"/>
      <c r="S74" s="572"/>
    </row>
    <row r="75" spans="1:19" ht="15" x14ac:dyDescent="0.25">
      <c r="A75" s="60"/>
      <c r="B75" s="122"/>
      <c r="C75" s="100" t="s">
        <v>963</v>
      </c>
      <c r="D75" s="70"/>
      <c r="E75" s="71"/>
      <c r="F75" s="71"/>
      <c r="G75" s="132"/>
      <c r="H75" s="602"/>
      <c r="I75" s="71"/>
      <c r="J75" s="71"/>
      <c r="K75" s="572"/>
      <c r="L75" s="72"/>
      <c r="M75" s="71"/>
      <c r="N75" s="71"/>
      <c r="O75" s="572"/>
      <c r="P75" s="72"/>
      <c r="Q75" s="71"/>
      <c r="R75" s="71"/>
      <c r="S75" s="572"/>
    </row>
    <row r="76" spans="1:19" ht="30" x14ac:dyDescent="0.25">
      <c r="A76" s="60"/>
      <c r="B76" s="122"/>
      <c r="C76" s="97" t="s">
        <v>964</v>
      </c>
      <c r="D76" s="70"/>
      <c r="E76" s="71"/>
      <c r="F76" s="71"/>
      <c r="G76" s="132"/>
      <c r="H76" s="602">
        <v>2114</v>
      </c>
      <c r="I76" s="71">
        <v>2114</v>
      </c>
      <c r="J76" s="71">
        <v>0</v>
      </c>
      <c r="K76" s="572">
        <v>0</v>
      </c>
      <c r="L76" s="64">
        <v>1512</v>
      </c>
      <c r="M76" s="41">
        <v>1512</v>
      </c>
      <c r="N76" s="41">
        <v>0</v>
      </c>
      <c r="O76" s="569">
        <v>0</v>
      </c>
      <c r="P76" s="64">
        <f t="shared" si="3"/>
        <v>3626</v>
      </c>
      <c r="Q76" s="41">
        <f t="shared" si="3"/>
        <v>3626</v>
      </c>
      <c r="R76" s="41">
        <f t="shared" si="3"/>
        <v>0</v>
      </c>
      <c r="S76" s="569">
        <f t="shared" si="3"/>
        <v>0</v>
      </c>
    </row>
    <row r="77" spans="1:19" ht="15" x14ac:dyDescent="0.25">
      <c r="A77" s="60"/>
      <c r="B77" s="122"/>
      <c r="C77" s="97" t="s">
        <v>994</v>
      </c>
      <c r="D77" s="70"/>
      <c r="E77" s="71"/>
      <c r="F77" s="71"/>
      <c r="G77" s="132"/>
      <c r="H77" s="602"/>
      <c r="I77" s="71"/>
      <c r="J77" s="71"/>
      <c r="K77" s="572"/>
      <c r="L77" s="64">
        <v>117134</v>
      </c>
      <c r="M77" s="41">
        <v>117134</v>
      </c>
      <c r="N77" s="41">
        <v>0</v>
      </c>
      <c r="O77" s="569">
        <v>0</v>
      </c>
      <c r="P77" s="64">
        <f t="shared" ref="P77:S77" si="19">H77+L77</f>
        <v>117134</v>
      </c>
      <c r="Q77" s="41">
        <f t="shared" si="19"/>
        <v>117134</v>
      </c>
      <c r="R77" s="41">
        <f t="shared" si="19"/>
        <v>0</v>
      </c>
      <c r="S77" s="569">
        <f t="shared" si="19"/>
        <v>0</v>
      </c>
    </row>
    <row r="78" spans="1:19" ht="15" x14ac:dyDescent="0.25">
      <c r="A78" s="60"/>
      <c r="B78" s="122"/>
      <c r="C78" s="97"/>
      <c r="D78" s="70"/>
      <c r="E78" s="71"/>
      <c r="F78" s="71"/>
      <c r="G78" s="132"/>
      <c r="H78" s="602"/>
      <c r="I78" s="71"/>
      <c r="J78" s="71"/>
      <c r="K78" s="572"/>
      <c r="L78" s="72"/>
      <c r="M78" s="71"/>
      <c r="N78" s="71"/>
      <c r="O78" s="572"/>
      <c r="P78" s="72"/>
      <c r="Q78" s="71"/>
      <c r="R78" s="71"/>
      <c r="S78" s="572"/>
    </row>
    <row r="79" spans="1:19" ht="15" x14ac:dyDescent="0.25">
      <c r="A79" s="60"/>
      <c r="B79" s="122"/>
      <c r="C79" s="144" t="s">
        <v>24</v>
      </c>
      <c r="D79" s="70"/>
      <c r="E79" s="71"/>
      <c r="F79" s="71"/>
      <c r="G79" s="132"/>
      <c r="H79" s="602">
        <v>2114</v>
      </c>
      <c r="I79" s="71">
        <v>2114</v>
      </c>
      <c r="J79" s="71">
        <v>0</v>
      </c>
      <c r="K79" s="572">
        <v>0</v>
      </c>
      <c r="L79" s="72">
        <f>SUM(L76:L78)</f>
        <v>118646</v>
      </c>
      <c r="M79" s="71">
        <f t="shared" ref="M79:O79" si="20">SUM(M76:M78)</f>
        <v>118646</v>
      </c>
      <c r="N79" s="71">
        <f t="shared" si="20"/>
        <v>0</v>
      </c>
      <c r="O79" s="572">
        <f t="shared" si="20"/>
        <v>0</v>
      </c>
      <c r="P79" s="72">
        <f t="shared" ref="P79:S152" si="21">H79+L79</f>
        <v>120760</v>
      </c>
      <c r="Q79" s="71">
        <f t="shared" si="21"/>
        <v>120760</v>
      </c>
      <c r="R79" s="71">
        <f t="shared" si="21"/>
        <v>0</v>
      </c>
      <c r="S79" s="572">
        <f t="shared" si="21"/>
        <v>0</v>
      </c>
    </row>
    <row r="80" spans="1:19" ht="15" x14ac:dyDescent="0.25">
      <c r="A80" s="60"/>
      <c r="B80" s="122"/>
      <c r="C80" s="144"/>
      <c r="D80" s="70"/>
      <c r="E80" s="71"/>
      <c r="F80" s="71"/>
      <c r="G80" s="132"/>
      <c r="H80" s="602"/>
      <c r="I80" s="71"/>
      <c r="J80" s="71"/>
      <c r="K80" s="572"/>
      <c r="L80" s="72"/>
      <c r="M80" s="71"/>
      <c r="N80" s="71"/>
      <c r="O80" s="572"/>
      <c r="P80" s="72"/>
      <c r="Q80" s="71"/>
      <c r="R80" s="71"/>
      <c r="S80" s="572"/>
    </row>
    <row r="81" spans="1:19" ht="15" x14ac:dyDescent="0.25">
      <c r="A81" s="60"/>
      <c r="B81" s="122"/>
      <c r="C81" s="100" t="s">
        <v>995</v>
      </c>
      <c r="D81" s="70"/>
      <c r="E81" s="71"/>
      <c r="F81" s="71"/>
      <c r="G81" s="132"/>
      <c r="H81" s="602"/>
      <c r="I81" s="71"/>
      <c r="J81" s="71"/>
      <c r="K81" s="572"/>
      <c r="L81" s="72"/>
      <c r="M81" s="71"/>
      <c r="N81" s="71"/>
      <c r="O81" s="572"/>
      <c r="P81" s="72"/>
      <c r="Q81" s="71"/>
      <c r="R81" s="71"/>
      <c r="S81" s="572"/>
    </row>
    <row r="82" spans="1:19" s="43" customFormat="1" ht="15" x14ac:dyDescent="0.25">
      <c r="A82" s="60"/>
      <c r="B82" s="122"/>
      <c r="C82" s="97" t="s">
        <v>996</v>
      </c>
      <c r="D82" s="63"/>
      <c r="E82" s="41"/>
      <c r="F82" s="41"/>
      <c r="G82" s="123"/>
      <c r="H82" s="65"/>
      <c r="I82" s="41"/>
      <c r="J82" s="41"/>
      <c r="K82" s="569"/>
      <c r="L82" s="64">
        <v>64148</v>
      </c>
      <c r="M82" s="41">
        <v>64148</v>
      </c>
      <c r="N82" s="41">
        <v>0</v>
      </c>
      <c r="O82" s="569">
        <v>0</v>
      </c>
      <c r="P82" s="64">
        <f t="shared" ref="P82:S82" si="22">H82+L82</f>
        <v>64148</v>
      </c>
      <c r="Q82" s="41">
        <f t="shared" si="22"/>
        <v>64148</v>
      </c>
      <c r="R82" s="41">
        <f t="shared" si="22"/>
        <v>0</v>
      </c>
      <c r="S82" s="569">
        <f t="shared" si="22"/>
        <v>0</v>
      </c>
    </row>
    <row r="83" spans="1:19" s="43" customFormat="1" ht="15" x14ac:dyDescent="0.25">
      <c r="A83" s="60"/>
      <c r="B83" s="122"/>
      <c r="C83" s="97"/>
      <c r="D83" s="63"/>
      <c r="E83" s="41"/>
      <c r="F83" s="41"/>
      <c r="G83" s="123"/>
      <c r="H83" s="65"/>
      <c r="I83" s="41"/>
      <c r="J83" s="41"/>
      <c r="K83" s="569"/>
      <c r="L83" s="64"/>
      <c r="M83" s="41"/>
      <c r="N83" s="41"/>
      <c r="O83" s="569"/>
      <c r="P83" s="64"/>
      <c r="Q83" s="41"/>
      <c r="R83" s="41"/>
      <c r="S83" s="569"/>
    </row>
    <row r="84" spans="1:19" s="591" customFormat="1" ht="15" x14ac:dyDescent="0.25">
      <c r="A84" s="68"/>
      <c r="B84" s="130"/>
      <c r="C84" s="144" t="s">
        <v>24</v>
      </c>
      <c r="D84" s="70"/>
      <c r="E84" s="71"/>
      <c r="F84" s="71"/>
      <c r="G84" s="132"/>
      <c r="H84" s="602"/>
      <c r="I84" s="71"/>
      <c r="J84" s="71"/>
      <c r="K84" s="572"/>
      <c r="L84" s="72">
        <f>SUM(L82:L83)</f>
        <v>64148</v>
      </c>
      <c r="M84" s="71">
        <f t="shared" ref="M84:O84" si="23">SUM(M82:M83)</f>
        <v>64148</v>
      </c>
      <c r="N84" s="71">
        <f t="shared" si="23"/>
        <v>0</v>
      </c>
      <c r="O84" s="572">
        <f t="shared" si="23"/>
        <v>0</v>
      </c>
      <c r="P84" s="72">
        <f t="shared" ref="P84:S84" si="24">H84+L84</f>
        <v>64148</v>
      </c>
      <c r="Q84" s="71">
        <f t="shared" si="24"/>
        <v>64148</v>
      </c>
      <c r="R84" s="71">
        <f t="shared" si="24"/>
        <v>0</v>
      </c>
      <c r="S84" s="572">
        <f t="shared" si="24"/>
        <v>0</v>
      </c>
    </row>
    <row r="85" spans="1:19" s="591" customFormat="1" ht="15" x14ac:dyDescent="0.25">
      <c r="A85" s="68"/>
      <c r="B85" s="130"/>
      <c r="C85" s="144"/>
      <c r="D85" s="70"/>
      <c r="E85" s="71"/>
      <c r="F85" s="71"/>
      <c r="G85" s="132"/>
      <c r="H85" s="602"/>
      <c r="I85" s="71"/>
      <c r="J85" s="71"/>
      <c r="K85" s="572"/>
      <c r="L85" s="72"/>
      <c r="M85" s="71"/>
      <c r="N85" s="71"/>
      <c r="O85" s="572"/>
      <c r="P85" s="72"/>
      <c r="Q85" s="71"/>
      <c r="R85" s="71"/>
      <c r="S85" s="572"/>
    </row>
    <row r="86" spans="1:19" s="591" customFormat="1" ht="15" x14ac:dyDescent="0.25">
      <c r="A86" s="68"/>
      <c r="B86" s="130"/>
      <c r="C86" s="97" t="s">
        <v>997</v>
      </c>
      <c r="D86" s="70"/>
      <c r="E86" s="71"/>
      <c r="F86" s="71"/>
      <c r="G86" s="132"/>
      <c r="H86" s="602"/>
      <c r="I86" s="71"/>
      <c r="J86" s="71"/>
      <c r="K86" s="572"/>
      <c r="L86" s="72"/>
      <c r="M86" s="71"/>
      <c r="N86" s="71"/>
      <c r="O86" s="572"/>
      <c r="P86" s="72"/>
      <c r="Q86" s="71"/>
      <c r="R86" s="71"/>
      <c r="S86" s="572"/>
    </row>
    <row r="87" spans="1:19" s="591" customFormat="1" ht="15" x14ac:dyDescent="0.25">
      <c r="A87" s="68"/>
      <c r="B87" s="130"/>
      <c r="C87" s="97" t="s">
        <v>998</v>
      </c>
      <c r="D87" s="70"/>
      <c r="E87" s="71"/>
      <c r="F87" s="71"/>
      <c r="G87" s="132"/>
      <c r="H87" s="602"/>
      <c r="I87" s="71"/>
      <c r="J87" s="71"/>
      <c r="K87" s="572"/>
      <c r="L87" s="64">
        <v>139</v>
      </c>
      <c r="M87" s="41">
        <v>139</v>
      </c>
      <c r="N87" s="41">
        <v>0</v>
      </c>
      <c r="O87" s="569">
        <v>0</v>
      </c>
      <c r="P87" s="64">
        <f t="shared" ref="P87:S87" si="25">H87+L87</f>
        <v>139</v>
      </c>
      <c r="Q87" s="41">
        <f t="shared" si="25"/>
        <v>139</v>
      </c>
      <c r="R87" s="41">
        <f t="shared" si="25"/>
        <v>0</v>
      </c>
      <c r="S87" s="569">
        <f t="shared" si="25"/>
        <v>0</v>
      </c>
    </row>
    <row r="88" spans="1:19" s="591" customFormat="1" ht="15" x14ac:dyDescent="0.25">
      <c r="A88" s="68"/>
      <c r="B88" s="130"/>
      <c r="C88" s="144"/>
      <c r="D88" s="70"/>
      <c r="E88" s="71"/>
      <c r="F88" s="71"/>
      <c r="G88" s="132"/>
      <c r="H88" s="602"/>
      <c r="I88" s="71"/>
      <c r="J88" s="71"/>
      <c r="K88" s="572"/>
      <c r="L88" s="72"/>
      <c r="M88" s="71"/>
      <c r="N88" s="71"/>
      <c r="O88" s="572"/>
      <c r="P88" s="72"/>
      <c r="Q88" s="71"/>
      <c r="R88" s="71"/>
      <c r="S88" s="572"/>
    </row>
    <row r="89" spans="1:19" s="591" customFormat="1" ht="15" x14ac:dyDescent="0.25">
      <c r="A89" s="68"/>
      <c r="B89" s="130"/>
      <c r="C89" s="144" t="s">
        <v>24</v>
      </c>
      <c r="D89" s="70"/>
      <c r="E89" s="71"/>
      <c r="F89" s="71"/>
      <c r="G89" s="132"/>
      <c r="H89" s="602"/>
      <c r="I89" s="71"/>
      <c r="J89" s="71"/>
      <c r="K89" s="572"/>
      <c r="L89" s="72">
        <f>SUM(L87:L88)</f>
        <v>139</v>
      </c>
      <c r="M89" s="71">
        <f t="shared" ref="M89:O89" si="26">SUM(M87:M88)</f>
        <v>139</v>
      </c>
      <c r="N89" s="71">
        <f t="shared" si="26"/>
        <v>0</v>
      </c>
      <c r="O89" s="572">
        <f t="shared" si="26"/>
        <v>0</v>
      </c>
      <c r="P89" s="72">
        <f t="shared" ref="P89:S89" si="27">H89+L89</f>
        <v>139</v>
      </c>
      <c r="Q89" s="71">
        <f t="shared" si="27"/>
        <v>139</v>
      </c>
      <c r="R89" s="71">
        <f t="shared" si="27"/>
        <v>0</v>
      </c>
      <c r="S89" s="572">
        <f t="shared" si="27"/>
        <v>0</v>
      </c>
    </row>
    <row r="90" spans="1:19" ht="15" x14ac:dyDescent="0.25">
      <c r="A90" s="60"/>
      <c r="B90" s="122"/>
      <c r="C90" s="97"/>
      <c r="D90" s="63"/>
      <c r="E90" s="41"/>
      <c r="F90" s="41"/>
      <c r="G90" s="123"/>
      <c r="H90" s="65"/>
      <c r="I90" s="41"/>
      <c r="J90" s="41"/>
      <c r="K90" s="569"/>
      <c r="L90" s="64"/>
      <c r="M90" s="41"/>
      <c r="N90" s="41"/>
      <c r="O90" s="569"/>
      <c r="P90" s="64"/>
      <c r="Q90" s="41"/>
      <c r="R90" s="41"/>
      <c r="S90" s="569"/>
    </row>
    <row r="91" spans="1:19" ht="15" x14ac:dyDescent="0.25">
      <c r="A91" s="60"/>
      <c r="B91" s="122"/>
      <c r="C91" s="139" t="s">
        <v>34</v>
      </c>
      <c r="D91" s="140">
        <f>D73</f>
        <v>1719969</v>
      </c>
      <c r="E91" s="141">
        <f>E73</f>
        <v>1719969</v>
      </c>
      <c r="F91" s="141">
        <f>F73</f>
        <v>0</v>
      </c>
      <c r="G91" s="142">
        <f>G73</f>
        <v>0</v>
      </c>
      <c r="H91" s="605">
        <v>1904158</v>
      </c>
      <c r="I91" s="141">
        <v>1904158</v>
      </c>
      <c r="J91" s="141">
        <v>0</v>
      </c>
      <c r="K91" s="575">
        <v>0</v>
      </c>
      <c r="L91" s="143">
        <f>L73+L79+L84+L89</f>
        <v>241904</v>
      </c>
      <c r="M91" s="141">
        <f t="shared" ref="M91:O91" si="28">M73+M79+M84+M89</f>
        <v>241904</v>
      </c>
      <c r="N91" s="141">
        <f t="shared" si="28"/>
        <v>0</v>
      </c>
      <c r="O91" s="575">
        <f t="shared" si="28"/>
        <v>0</v>
      </c>
      <c r="P91" s="143">
        <f t="shared" si="21"/>
        <v>2146062</v>
      </c>
      <c r="Q91" s="141">
        <f t="shared" si="21"/>
        <v>2146062</v>
      </c>
      <c r="R91" s="141">
        <f t="shared" si="21"/>
        <v>0</v>
      </c>
      <c r="S91" s="575">
        <f t="shared" si="21"/>
        <v>0</v>
      </c>
    </row>
    <row r="92" spans="1:19" ht="15" x14ac:dyDescent="0.25">
      <c r="A92" s="60"/>
      <c r="B92" s="122"/>
      <c r="C92" s="97"/>
      <c r="D92" s="85"/>
      <c r="E92" s="86"/>
      <c r="F92" s="86"/>
      <c r="G92" s="127"/>
      <c r="H92" s="604"/>
      <c r="I92" s="86"/>
      <c r="J92" s="86"/>
      <c r="K92" s="574"/>
      <c r="L92" s="87"/>
      <c r="M92" s="86"/>
      <c r="N92" s="86"/>
      <c r="O92" s="574"/>
      <c r="P92" s="87"/>
      <c r="Q92" s="86"/>
      <c r="R92" s="86"/>
      <c r="S92" s="574"/>
    </row>
    <row r="93" spans="1:19" ht="15" x14ac:dyDescent="0.25">
      <c r="A93" s="60"/>
      <c r="B93" s="122" t="s">
        <v>8</v>
      </c>
      <c r="C93" s="97" t="s">
        <v>62</v>
      </c>
      <c r="D93" s="85"/>
      <c r="E93" s="86"/>
      <c r="F93" s="86"/>
      <c r="G93" s="127"/>
      <c r="H93" s="604"/>
      <c r="I93" s="86"/>
      <c r="J93" s="86"/>
      <c r="K93" s="574"/>
      <c r="L93" s="87"/>
      <c r="M93" s="86"/>
      <c r="N93" s="86"/>
      <c r="O93" s="574"/>
      <c r="P93" s="87"/>
      <c r="Q93" s="86"/>
      <c r="R93" s="86"/>
      <c r="S93" s="574"/>
    </row>
    <row r="94" spans="1:19" ht="15" x14ac:dyDescent="0.25">
      <c r="A94" s="60"/>
      <c r="B94" s="122"/>
      <c r="C94" s="97" t="s">
        <v>13</v>
      </c>
      <c r="D94" s="85"/>
      <c r="E94" s="86"/>
      <c r="F94" s="86"/>
      <c r="G94" s="127"/>
      <c r="H94" s="604"/>
      <c r="I94" s="86"/>
      <c r="J94" s="86"/>
      <c r="K94" s="574"/>
      <c r="L94" s="87"/>
      <c r="M94" s="86"/>
      <c r="N94" s="86"/>
      <c r="O94" s="574"/>
      <c r="P94" s="87"/>
      <c r="Q94" s="86"/>
      <c r="R94" s="86"/>
      <c r="S94" s="574"/>
    </row>
    <row r="95" spans="1:19" ht="15" x14ac:dyDescent="0.25">
      <c r="A95" s="125"/>
      <c r="B95" s="126"/>
      <c r="C95" s="97" t="s">
        <v>123</v>
      </c>
      <c r="D95" s="41">
        <v>306251</v>
      </c>
      <c r="E95" s="41">
        <v>306251</v>
      </c>
      <c r="F95" s="86">
        <v>0</v>
      </c>
      <c r="G95" s="127">
        <v>0</v>
      </c>
      <c r="H95" s="604">
        <v>419397</v>
      </c>
      <c r="I95" s="86">
        <v>419397</v>
      </c>
      <c r="J95" s="86">
        <v>0</v>
      </c>
      <c r="K95" s="574">
        <v>0</v>
      </c>
      <c r="L95" s="570"/>
      <c r="M95" s="41"/>
      <c r="N95" s="86"/>
      <c r="O95" s="574"/>
      <c r="P95" s="570">
        <f t="shared" si="21"/>
        <v>419397</v>
      </c>
      <c r="Q95" s="41">
        <f t="shared" si="21"/>
        <v>419397</v>
      </c>
      <c r="R95" s="86">
        <f t="shared" si="21"/>
        <v>0</v>
      </c>
      <c r="S95" s="574">
        <f t="shared" si="21"/>
        <v>0</v>
      </c>
    </row>
    <row r="96" spans="1:19" ht="15" x14ac:dyDescent="0.25">
      <c r="A96" s="125"/>
      <c r="B96" s="126"/>
      <c r="C96" s="97" t="s">
        <v>88</v>
      </c>
      <c r="D96" s="41"/>
      <c r="E96" s="41"/>
      <c r="F96" s="86"/>
      <c r="G96" s="127"/>
      <c r="H96" s="604"/>
      <c r="I96" s="86"/>
      <c r="J96" s="86"/>
      <c r="K96" s="574"/>
      <c r="L96" s="570"/>
      <c r="M96" s="41"/>
      <c r="N96" s="86"/>
      <c r="O96" s="574"/>
      <c r="P96" s="570"/>
      <c r="Q96" s="41"/>
      <c r="R96" s="86"/>
      <c r="S96" s="574"/>
    </row>
    <row r="97" spans="1:19" ht="15" x14ac:dyDescent="0.25">
      <c r="A97" s="125"/>
      <c r="B97" s="126"/>
      <c r="C97" s="97" t="s">
        <v>89</v>
      </c>
      <c r="D97" s="41"/>
      <c r="E97" s="41"/>
      <c r="F97" s="86"/>
      <c r="G97" s="127"/>
      <c r="H97" s="604"/>
      <c r="I97" s="86"/>
      <c r="J97" s="86"/>
      <c r="K97" s="574"/>
      <c r="L97" s="570"/>
      <c r="M97" s="41"/>
      <c r="N97" s="86"/>
      <c r="O97" s="574"/>
      <c r="P97" s="570"/>
      <c r="Q97" s="41"/>
      <c r="R97" s="86"/>
      <c r="S97" s="574"/>
    </row>
    <row r="98" spans="1:19" ht="15" x14ac:dyDescent="0.25">
      <c r="A98" s="125"/>
      <c r="B98" s="126"/>
      <c r="C98" s="97" t="s">
        <v>90</v>
      </c>
      <c r="D98" s="41">
        <v>26000</v>
      </c>
      <c r="E98" s="41">
        <v>26000</v>
      </c>
      <c r="F98" s="86">
        <v>0</v>
      </c>
      <c r="G98" s="127">
        <v>0</v>
      </c>
      <c r="H98" s="604">
        <v>26000</v>
      </c>
      <c r="I98" s="86">
        <v>26000</v>
      </c>
      <c r="J98" s="86">
        <v>0</v>
      </c>
      <c r="K98" s="574">
        <v>0</v>
      </c>
      <c r="L98" s="570"/>
      <c r="M98" s="41"/>
      <c r="N98" s="86"/>
      <c r="O98" s="574"/>
      <c r="P98" s="570">
        <f t="shared" si="21"/>
        <v>26000</v>
      </c>
      <c r="Q98" s="41">
        <f t="shared" si="21"/>
        <v>26000</v>
      </c>
      <c r="R98" s="86">
        <f t="shared" si="21"/>
        <v>0</v>
      </c>
      <c r="S98" s="574">
        <f t="shared" si="21"/>
        <v>0</v>
      </c>
    </row>
    <row r="99" spans="1:19" ht="15" x14ac:dyDescent="0.25">
      <c r="A99" s="125"/>
      <c r="B99" s="126"/>
      <c r="C99" s="97" t="s">
        <v>91</v>
      </c>
      <c r="D99" s="41">
        <v>56000</v>
      </c>
      <c r="E99" s="41">
        <v>56000</v>
      </c>
      <c r="F99" s="86">
        <v>0</v>
      </c>
      <c r="G99" s="127">
        <v>0</v>
      </c>
      <c r="H99" s="604">
        <v>56000</v>
      </c>
      <c r="I99" s="86">
        <v>56000</v>
      </c>
      <c r="J99" s="86">
        <v>0</v>
      </c>
      <c r="K99" s="574">
        <v>0</v>
      </c>
      <c r="L99" s="570"/>
      <c r="M99" s="41"/>
      <c r="N99" s="86"/>
      <c r="O99" s="574"/>
      <c r="P99" s="570">
        <f t="shared" si="21"/>
        <v>56000</v>
      </c>
      <c r="Q99" s="41">
        <f t="shared" si="21"/>
        <v>56000</v>
      </c>
      <c r="R99" s="86">
        <f t="shared" si="21"/>
        <v>0</v>
      </c>
      <c r="S99" s="574">
        <f t="shared" si="21"/>
        <v>0</v>
      </c>
    </row>
    <row r="100" spans="1:19" ht="15" x14ac:dyDescent="0.25">
      <c r="A100" s="125"/>
      <c r="B100" s="126"/>
      <c r="C100" s="97"/>
      <c r="D100" s="41"/>
      <c r="E100" s="41"/>
      <c r="F100" s="86"/>
      <c r="G100" s="127"/>
      <c r="H100" s="604"/>
      <c r="I100" s="86"/>
      <c r="J100" s="86"/>
      <c r="K100" s="574"/>
      <c r="L100" s="570"/>
      <c r="M100" s="41"/>
      <c r="N100" s="86"/>
      <c r="O100" s="574"/>
      <c r="P100" s="570"/>
      <c r="Q100" s="41"/>
      <c r="R100" s="86"/>
      <c r="S100" s="574"/>
    </row>
    <row r="101" spans="1:19" ht="15" x14ac:dyDescent="0.25">
      <c r="A101" s="152"/>
      <c r="B101" s="153"/>
      <c r="C101" s="139" t="s">
        <v>35</v>
      </c>
      <c r="D101" s="83">
        <f>SUM(D95:D100)</f>
        <v>388251</v>
      </c>
      <c r="E101" s="83">
        <f t="shared" ref="E101:G101" si="29">SUM(E95:E100)</f>
        <v>388251</v>
      </c>
      <c r="F101" s="141">
        <f t="shared" si="29"/>
        <v>0</v>
      </c>
      <c r="G101" s="142">
        <f t="shared" si="29"/>
        <v>0</v>
      </c>
      <c r="H101" s="605">
        <v>501397</v>
      </c>
      <c r="I101" s="141">
        <v>501397</v>
      </c>
      <c r="J101" s="141">
        <v>0</v>
      </c>
      <c r="K101" s="575">
        <v>0</v>
      </c>
      <c r="L101" s="577">
        <f>SUM(L95:L100)</f>
        <v>0</v>
      </c>
      <c r="M101" s="83">
        <f t="shared" ref="M101:O101" si="30">SUM(M95:M100)</f>
        <v>0</v>
      </c>
      <c r="N101" s="141">
        <f t="shared" si="30"/>
        <v>0</v>
      </c>
      <c r="O101" s="575">
        <f t="shared" si="30"/>
        <v>0</v>
      </c>
      <c r="P101" s="577">
        <f t="shared" si="21"/>
        <v>501397</v>
      </c>
      <c r="Q101" s="83">
        <f t="shared" si="21"/>
        <v>501397</v>
      </c>
      <c r="R101" s="141">
        <f t="shared" si="21"/>
        <v>0</v>
      </c>
      <c r="S101" s="575">
        <f t="shared" si="21"/>
        <v>0</v>
      </c>
    </row>
    <row r="102" spans="1:19" ht="15" x14ac:dyDescent="0.25">
      <c r="A102" s="125"/>
      <c r="B102" s="126"/>
      <c r="C102" s="97"/>
      <c r="D102" s="85"/>
      <c r="E102" s="86"/>
      <c r="F102" s="86"/>
      <c r="G102" s="127"/>
      <c r="H102" s="604"/>
      <c r="I102" s="86"/>
      <c r="J102" s="86"/>
      <c r="K102" s="574"/>
      <c r="L102" s="87"/>
      <c r="M102" s="86"/>
      <c r="N102" s="86"/>
      <c r="O102" s="574"/>
      <c r="P102" s="87"/>
      <c r="Q102" s="86"/>
      <c r="R102" s="86"/>
      <c r="S102" s="574"/>
    </row>
    <row r="103" spans="1:19" ht="15" x14ac:dyDescent="0.25">
      <c r="A103" s="125"/>
      <c r="B103" s="154" t="s">
        <v>14</v>
      </c>
      <c r="C103" s="97" t="s">
        <v>142</v>
      </c>
      <c r="D103" s="85"/>
      <c r="E103" s="86"/>
      <c r="F103" s="86"/>
      <c r="G103" s="127"/>
      <c r="H103" s="604"/>
      <c r="I103" s="86"/>
      <c r="J103" s="86"/>
      <c r="K103" s="574"/>
      <c r="L103" s="87"/>
      <c r="M103" s="86"/>
      <c r="N103" s="86"/>
      <c r="O103" s="574"/>
      <c r="P103" s="87"/>
      <c r="Q103" s="86"/>
      <c r="R103" s="86"/>
      <c r="S103" s="574"/>
    </row>
    <row r="104" spans="1:19" ht="15" x14ac:dyDescent="0.25">
      <c r="A104" s="125"/>
      <c r="B104" s="126"/>
      <c r="C104" s="97" t="s">
        <v>143</v>
      </c>
      <c r="D104" s="85"/>
      <c r="E104" s="86"/>
      <c r="F104" s="86"/>
      <c r="G104" s="127"/>
      <c r="H104" s="604"/>
      <c r="I104" s="86"/>
      <c r="J104" s="86"/>
      <c r="K104" s="574"/>
      <c r="L104" s="87"/>
      <c r="M104" s="86"/>
      <c r="N104" s="86"/>
      <c r="O104" s="574"/>
      <c r="P104" s="87"/>
      <c r="Q104" s="86"/>
      <c r="R104" s="86"/>
      <c r="S104" s="574"/>
    </row>
    <row r="105" spans="1:19" ht="30" x14ac:dyDescent="0.25">
      <c r="A105" s="125"/>
      <c r="B105" s="126"/>
      <c r="C105" s="97" t="s">
        <v>127</v>
      </c>
      <c r="D105" s="41">
        <v>40751</v>
      </c>
      <c r="E105" s="41">
        <v>40751</v>
      </c>
      <c r="F105" s="86">
        <v>0</v>
      </c>
      <c r="G105" s="127">
        <v>0</v>
      </c>
      <c r="H105" s="604">
        <v>40751</v>
      </c>
      <c r="I105" s="86">
        <v>40751</v>
      </c>
      <c r="J105" s="86">
        <v>0</v>
      </c>
      <c r="K105" s="574">
        <v>0</v>
      </c>
      <c r="L105" s="570">
        <v>5282</v>
      </c>
      <c r="M105" s="41">
        <v>5282</v>
      </c>
      <c r="N105" s="86">
        <v>0</v>
      </c>
      <c r="O105" s="574">
        <v>0</v>
      </c>
      <c r="P105" s="570">
        <f t="shared" si="21"/>
        <v>46033</v>
      </c>
      <c r="Q105" s="41">
        <f t="shared" si="21"/>
        <v>46033</v>
      </c>
      <c r="R105" s="86">
        <f t="shared" si="21"/>
        <v>0</v>
      </c>
      <c r="S105" s="574">
        <f t="shared" si="21"/>
        <v>0</v>
      </c>
    </row>
    <row r="106" spans="1:19" ht="15" x14ac:dyDescent="0.25">
      <c r="A106" s="149"/>
      <c r="B106" s="122"/>
      <c r="C106" s="97" t="s">
        <v>124</v>
      </c>
      <c r="D106" s="85">
        <v>9229</v>
      </c>
      <c r="E106" s="86">
        <v>0</v>
      </c>
      <c r="F106" s="86">
        <v>9229</v>
      </c>
      <c r="G106" s="127">
        <v>0</v>
      </c>
      <c r="H106" s="604">
        <v>9229</v>
      </c>
      <c r="I106" s="86">
        <v>0</v>
      </c>
      <c r="J106" s="86">
        <v>9229</v>
      </c>
      <c r="K106" s="574">
        <v>0</v>
      </c>
      <c r="L106" s="87">
        <v>-1511</v>
      </c>
      <c r="M106" s="86">
        <v>0</v>
      </c>
      <c r="N106" s="86">
        <v>-1511</v>
      </c>
      <c r="O106" s="574">
        <v>0</v>
      </c>
      <c r="P106" s="87">
        <f t="shared" si="21"/>
        <v>7718</v>
      </c>
      <c r="Q106" s="86">
        <f t="shared" si="21"/>
        <v>0</v>
      </c>
      <c r="R106" s="86">
        <f t="shared" si="21"/>
        <v>7718</v>
      </c>
      <c r="S106" s="574">
        <f t="shared" si="21"/>
        <v>0</v>
      </c>
    </row>
    <row r="107" spans="1:19" ht="15" x14ac:dyDescent="0.25">
      <c r="A107" s="149"/>
      <c r="B107" s="122"/>
      <c r="C107" s="97" t="s">
        <v>125</v>
      </c>
      <c r="D107" s="85">
        <v>405</v>
      </c>
      <c r="E107" s="86">
        <v>405</v>
      </c>
      <c r="F107" s="86">
        <v>0</v>
      </c>
      <c r="G107" s="127">
        <v>0</v>
      </c>
      <c r="H107" s="604">
        <v>405</v>
      </c>
      <c r="I107" s="86">
        <v>405</v>
      </c>
      <c r="J107" s="86">
        <v>0</v>
      </c>
      <c r="K107" s="574">
        <v>0</v>
      </c>
      <c r="L107" s="87"/>
      <c r="M107" s="86"/>
      <c r="N107" s="86"/>
      <c r="O107" s="574"/>
      <c r="P107" s="87">
        <f t="shared" si="21"/>
        <v>405</v>
      </c>
      <c r="Q107" s="86">
        <f t="shared" si="21"/>
        <v>405</v>
      </c>
      <c r="R107" s="86">
        <f t="shared" si="21"/>
        <v>0</v>
      </c>
      <c r="S107" s="574">
        <f t="shared" si="21"/>
        <v>0</v>
      </c>
    </row>
    <row r="108" spans="1:19" ht="15" x14ac:dyDescent="0.25">
      <c r="A108" s="149"/>
      <c r="B108" s="122"/>
      <c r="C108" s="97" t="s">
        <v>92</v>
      </c>
      <c r="D108" s="85"/>
      <c r="E108" s="86"/>
      <c r="F108" s="86"/>
      <c r="G108" s="127"/>
      <c r="H108" s="604"/>
      <c r="I108" s="86"/>
      <c r="J108" s="86"/>
      <c r="K108" s="574"/>
      <c r="L108" s="87"/>
      <c r="M108" s="86"/>
      <c r="N108" s="86"/>
      <c r="O108" s="574"/>
      <c r="P108" s="87"/>
      <c r="Q108" s="86"/>
      <c r="R108" s="86"/>
      <c r="S108" s="574"/>
    </row>
    <row r="109" spans="1:19" ht="15" x14ac:dyDescent="0.25">
      <c r="A109" s="149"/>
      <c r="B109" s="122"/>
      <c r="C109" s="97" t="s">
        <v>93</v>
      </c>
      <c r="D109" s="85">
        <v>15169</v>
      </c>
      <c r="E109" s="86">
        <v>15169</v>
      </c>
      <c r="F109" s="86">
        <v>0</v>
      </c>
      <c r="G109" s="127">
        <v>0</v>
      </c>
      <c r="H109" s="604">
        <v>17099</v>
      </c>
      <c r="I109" s="86">
        <v>17099</v>
      </c>
      <c r="J109" s="86">
        <v>0</v>
      </c>
      <c r="K109" s="574">
        <v>0</v>
      </c>
      <c r="L109" s="87"/>
      <c r="M109" s="86"/>
      <c r="N109" s="86"/>
      <c r="O109" s="574"/>
      <c r="P109" s="87">
        <f t="shared" si="21"/>
        <v>17099</v>
      </c>
      <c r="Q109" s="86">
        <f t="shared" si="21"/>
        <v>17099</v>
      </c>
      <c r="R109" s="86">
        <f t="shared" si="21"/>
        <v>0</v>
      </c>
      <c r="S109" s="574">
        <f t="shared" si="21"/>
        <v>0</v>
      </c>
    </row>
    <row r="110" spans="1:19" ht="15" x14ac:dyDescent="0.25">
      <c r="A110" s="149"/>
      <c r="B110" s="122"/>
      <c r="C110" s="97" t="s">
        <v>94</v>
      </c>
      <c r="D110" s="85">
        <v>2907</v>
      </c>
      <c r="E110" s="86">
        <v>2907</v>
      </c>
      <c r="F110" s="86">
        <v>0</v>
      </c>
      <c r="G110" s="127">
        <v>0</v>
      </c>
      <c r="H110" s="604">
        <v>3890</v>
      </c>
      <c r="I110" s="86">
        <v>3890</v>
      </c>
      <c r="J110" s="86">
        <v>0</v>
      </c>
      <c r="K110" s="574">
        <v>0</v>
      </c>
      <c r="L110" s="87"/>
      <c r="M110" s="86"/>
      <c r="N110" s="86"/>
      <c r="O110" s="574"/>
      <c r="P110" s="87">
        <f t="shared" si="21"/>
        <v>3890</v>
      </c>
      <c r="Q110" s="86">
        <f t="shared" si="21"/>
        <v>3890</v>
      </c>
      <c r="R110" s="86">
        <f t="shared" si="21"/>
        <v>0</v>
      </c>
      <c r="S110" s="574">
        <f t="shared" si="21"/>
        <v>0</v>
      </c>
    </row>
    <row r="111" spans="1:19" ht="15" x14ac:dyDescent="0.25">
      <c r="A111" s="149"/>
      <c r="B111" s="122"/>
      <c r="C111" s="100" t="s">
        <v>95</v>
      </c>
      <c r="D111" s="85">
        <v>2502</v>
      </c>
      <c r="E111" s="86">
        <v>2502</v>
      </c>
      <c r="F111" s="86">
        <v>0</v>
      </c>
      <c r="G111" s="127">
        <v>0</v>
      </c>
      <c r="H111" s="604">
        <v>2653</v>
      </c>
      <c r="I111" s="86">
        <v>2653</v>
      </c>
      <c r="J111" s="86">
        <v>0</v>
      </c>
      <c r="K111" s="574">
        <v>0</v>
      </c>
      <c r="L111" s="87"/>
      <c r="M111" s="86"/>
      <c r="N111" s="86"/>
      <c r="O111" s="574"/>
      <c r="P111" s="87">
        <f t="shared" si="21"/>
        <v>2653</v>
      </c>
      <c r="Q111" s="86">
        <f t="shared" si="21"/>
        <v>2653</v>
      </c>
      <c r="R111" s="86">
        <f t="shared" si="21"/>
        <v>0</v>
      </c>
      <c r="S111" s="574">
        <f t="shared" si="21"/>
        <v>0</v>
      </c>
    </row>
    <row r="112" spans="1:19" ht="30" x14ac:dyDescent="0.25">
      <c r="A112" s="149"/>
      <c r="B112" s="122"/>
      <c r="C112" s="97" t="s">
        <v>145</v>
      </c>
      <c r="D112" s="85">
        <v>1478</v>
      </c>
      <c r="E112" s="86">
        <v>1478</v>
      </c>
      <c r="F112" s="86">
        <v>0</v>
      </c>
      <c r="G112" s="127">
        <v>0</v>
      </c>
      <c r="H112" s="604">
        <v>4796</v>
      </c>
      <c r="I112" s="86">
        <v>4796</v>
      </c>
      <c r="J112" s="86">
        <v>0</v>
      </c>
      <c r="K112" s="574">
        <v>0</v>
      </c>
      <c r="L112" s="87"/>
      <c r="M112" s="86"/>
      <c r="N112" s="86"/>
      <c r="O112" s="574"/>
      <c r="P112" s="87">
        <f t="shared" si="21"/>
        <v>4796</v>
      </c>
      <c r="Q112" s="86">
        <f t="shared" si="21"/>
        <v>4796</v>
      </c>
      <c r="R112" s="86">
        <f t="shared" si="21"/>
        <v>0</v>
      </c>
      <c r="S112" s="574">
        <f t="shared" si="21"/>
        <v>0</v>
      </c>
    </row>
    <row r="113" spans="1:19" ht="15" x14ac:dyDescent="0.25">
      <c r="A113" s="149"/>
      <c r="B113" s="122"/>
      <c r="C113" s="100" t="s">
        <v>146</v>
      </c>
      <c r="D113" s="85">
        <v>1838</v>
      </c>
      <c r="E113" s="86">
        <v>1838</v>
      </c>
      <c r="F113" s="86">
        <v>0</v>
      </c>
      <c r="G113" s="127">
        <v>0</v>
      </c>
      <c r="H113" s="604">
        <v>3045</v>
      </c>
      <c r="I113" s="86">
        <v>3045</v>
      </c>
      <c r="J113" s="86">
        <v>0</v>
      </c>
      <c r="K113" s="574">
        <v>0</v>
      </c>
      <c r="L113" s="87"/>
      <c r="M113" s="86"/>
      <c r="N113" s="86"/>
      <c r="O113" s="574"/>
      <c r="P113" s="87">
        <f t="shared" si="21"/>
        <v>3045</v>
      </c>
      <c r="Q113" s="86">
        <f t="shared" si="21"/>
        <v>3045</v>
      </c>
      <c r="R113" s="86">
        <f t="shared" si="21"/>
        <v>0</v>
      </c>
      <c r="S113" s="574">
        <f t="shared" si="21"/>
        <v>0</v>
      </c>
    </row>
    <row r="114" spans="1:19" ht="15" x14ac:dyDescent="0.25">
      <c r="A114" s="149"/>
      <c r="B114" s="122"/>
      <c r="C114" s="151" t="s">
        <v>183</v>
      </c>
      <c r="D114" s="85">
        <v>1278</v>
      </c>
      <c r="E114" s="86">
        <v>0</v>
      </c>
      <c r="F114" s="86">
        <v>1278</v>
      </c>
      <c r="G114" s="127">
        <v>0</v>
      </c>
      <c r="H114" s="604">
        <v>1278</v>
      </c>
      <c r="I114" s="86">
        <v>0</v>
      </c>
      <c r="J114" s="86">
        <v>1278</v>
      </c>
      <c r="K114" s="574">
        <v>0</v>
      </c>
      <c r="L114" s="87"/>
      <c r="M114" s="86"/>
      <c r="N114" s="86"/>
      <c r="O114" s="574"/>
      <c r="P114" s="87">
        <f t="shared" si="21"/>
        <v>1278</v>
      </c>
      <c r="Q114" s="86">
        <f t="shared" si="21"/>
        <v>0</v>
      </c>
      <c r="R114" s="86">
        <f t="shared" si="21"/>
        <v>1278</v>
      </c>
      <c r="S114" s="574">
        <f t="shared" si="21"/>
        <v>0</v>
      </c>
    </row>
    <row r="115" spans="1:19" ht="15" x14ac:dyDescent="0.25">
      <c r="A115" s="149"/>
      <c r="B115" s="122"/>
      <c r="C115" s="97" t="s">
        <v>174</v>
      </c>
      <c r="D115" s="85">
        <v>6264</v>
      </c>
      <c r="E115" s="86">
        <v>0</v>
      </c>
      <c r="F115" s="86">
        <v>6264</v>
      </c>
      <c r="G115" s="127">
        <v>0</v>
      </c>
      <c r="H115" s="604">
        <v>6264</v>
      </c>
      <c r="I115" s="86">
        <v>0</v>
      </c>
      <c r="J115" s="86">
        <v>6264</v>
      </c>
      <c r="K115" s="574">
        <v>0</v>
      </c>
      <c r="L115" s="87"/>
      <c r="M115" s="86"/>
      <c r="N115" s="86"/>
      <c r="O115" s="574"/>
      <c r="P115" s="87">
        <f t="shared" si="21"/>
        <v>6264</v>
      </c>
      <c r="Q115" s="86">
        <f t="shared" si="21"/>
        <v>0</v>
      </c>
      <c r="R115" s="86">
        <f t="shared" si="21"/>
        <v>6264</v>
      </c>
      <c r="S115" s="574">
        <f t="shared" si="21"/>
        <v>0</v>
      </c>
    </row>
    <row r="116" spans="1:19" ht="15" x14ac:dyDescent="0.25">
      <c r="A116" s="125"/>
      <c r="B116" s="126"/>
      <c r="C116" s="97" t="s">
        <v>175</v>
      </c>
      <c r="D116" s="85">
        <v>300</v>
      </c>
      <c r="E116" s="86">
        <v>0</v>
      </c>
      <c r="F116" s="86">
        <v>0</v>
      </c>
      <c r="G116" s="127">
        <v>300</v>
      </c>
      <c r="H116" s="604">
        <v>300</v>
      </c>
      <c r="I116" s="86">
        <v>0</v>
      </c>
      <c r="J116" s="86">
        <v>0</v>
      </c>
      <c r="K116" s="574">
        <v>300</v>
      </c>
      <c r="L116" s="87">
        <v>100</v>
      </c>
      <c r="M116" s="86">
        <v>0</v>
      </c>
      <c r="N116" s="86">
        <v>0</v>
      </c>
      <c r="O116" s="574">
        <v>100</v>
      </c>
      <c r="P116" s="87">
        <f t="shared" si="21"/>
        <v>400</v>
      </c>
      <c r="Q116" s="86">
        <f t="shared" si="21"/>
        <v>0</v>
      </c>
      <c r="R116" s="86">
        <f t="shared" si="21"/>
        <v>0</v>
      </c>
      <c r="S116" s="574">
        <f t="shared" si="21"/>
        <v>400</v>
      </c>
    </row>
    <row r="117" spans="1:19" ht="15" x14ac:dyDescent="0.25">
      <c r="A117" s="149"/>
      <c r="B117" s="122"/>
      <c r="C117" s="97" t="s">
        <v>879</v>
      </c>
      <c r="D117" s="85">
        <v>477</v>
      </c>
      <c r="E117" s="86">
        <v>477</v>
      </c>
      <c r="F117" s="86">
        <v>0</v>
      </c>
      <c r="G117" s="87">
        <v>0</v>
      </c>
      <c r="H117" s="604">
        <v>477</v>
      </c>
      <c r="I117" s="86">
        <v>477</v>
      </c>
      <c r="J117" s="86">
        <v>0</v>
      </c>
      <c r="K117" s="574">
        <v>0</v>
      </c>
      <c r="L117" s="87"/>
      <c r="M117" s="86"/>
      <c r="N117" s="86"/>
      <c r="O117" s="88"/>
      <c r="P117" s="87">
        <f t="shared" si="21"/>
        <v>477</v>
      </c>
      <c r="Q117" s="86">
        <f t="shared" si="21"/>
        <v>477</v>
      </c>
      <c r="R117" s="86">
        <f t="shared" si="21"/>
        <v>0</v>
      </c>
      <c r="S117" s="88">
        <f t="shared" si="21"/>
        <v>0</v>
      </c>
    </row>
    <row r="118" spans="1:19" ht="15" x14ac:dyDescent="0.25">
      <c r="A118" s="149"/>
      <c r="B118" s="122"/>
      <c r="C118" s="97" t="s">
        <v>880</v>
      </c>
      <c r="D118" s="85">
        <v>1504</v>
      </c>
      <c r="E118" s="86">
        <v>1504</v>
      </c>
      <c r="F118" s="86">
        <v>0</v>
      </c>
      <c r="G118" s="87">
        <v>0</v>
      </c>
      <c r="H118" s="604">
        <v>1504</v>
      </c>
      <c r="I118" s="86">
        <v>1504</v>
      </c>
      <c r="J118" s="86">
        <v>0</v>
      </c>
      <c r="K118" s="574">
        <v>0</v>
      </c>
      <c r="L118" s="87"/>
      <c r="M118" s="86"/>
      <c r="N118" s="86"/>
      <c r="O118" s="88"/>
      <c r="P118" s="87">
        <f t="shared" si="21"/>
        <v>1504</v>
      </c>
      <c r="Q118" s="86">
        <f t="shared" si="21"/>
        <v>1504</v>
      </c>
      <c r="R118" s="86">
        <f t="shared" si="21"/>
        <v>0</v>
      </c>
      <c r="S118" s="88">
        <f t="shared" si="21"/>
        <v>0</v>
      </c>
    </row>
    <row r="119" spans="1:19" ht="15" x14ac:dyDescent="0.25">
      <c r="A119" s="149"/>
      <c r="B119" s="122"/>
      <c r="C119" s="97" t="s">
        <v>881</v>
      </c>
      <c r="D119" s="85">
        <v>47834</v>
      </c>
      <c r="E119" s="86">
        <v>47834</v>
      </c>
      <c r="F119" s="86">
        <v>0</v>
      </c>
      <c r="G119" s="87">
        <v>0</v>
      </c>
      <c r="H119" s="604">
        <v>47834</v>
      </c>
      <c r="I119" s="86">
        <v>47834</v>
      </c>
      <c r="J119" s="86">
        <v>0</v>
      </c>
      <c r="K119" s="574">
        <v>0</v>
      </c>
      <c r="L119" s="87"/>
      <c r="M119" s="86"/>
      <c r="N119" s="86"/>
      <c r="O119" s="88"/>
      <c r="P119" s="87">
        <f t="shared" si="21"/>
        <v>47834</v>
      </c>
      <c r="Q119" s="86">
        <f t="shared" si="21"/>
        <v>47834</v>
      </c>
      <c r="R119" s="86">
        <f t="shared" si="21"/>
        <v>0</v>
      </c>
      <c r="S119" s="88">
        <f t="shared" si="21"/>
        <v>0</v>
      </c>
    </row>
    <row r="120" spans="1:19" ht="15" x14ac:dyDescent="0.25">
      <c r="A120" s="149"/>
      <c r="B120" s="122"/>
      <c r="C120" s="151" t="s">
        <v>185</v>
      </c>
      <c r="D120" s="85">
        <f>2000+1000</f>
        <v>3000</v>
      </c>
      <c r="E120" s="86">
        <v>3000</v>
      </c>
      <c r="F120" s="86">
        <v>0</v>
      </c>
      <c r="G120" s="87">
        <v>0</v>
      </c>
      <c r="H120" s="604">
        <v>3000</v>
      </c>
      <c r="I120" s="86">
        <v>3000</v>
      </c>
      <c r="J120" s="86">
        <v>0</v>
      </c>
      <c r="K120" s="574">
        <v>0</v>
      </c>
      <c r="L120" s="87"/>
      <c r="M120" s="86"/>
      <c r="N120" s="86"/>
      <c r="O120" s="88"/>
      <c r="P120" s="87">
        <f t="shared" si="21"/>
        <v>3000</v>
      </c>
      <c r="Q120" s="86">
        <f t="shared" si="21"/>
        <v>3000</v>
      </c>
      <c r="R120" s="86">
        <f t="shared" si="21"/>
        <v>0</v>
      </c>
      <c r="S120" s="88">
        <f t="shared" si="21"/>
        <v>0</v>
      </c>
    </row>
    <row r="121" spans="1:19" ht="15" x14ac:dyDescent="0.25">
      <c r="A121" s="149"/>
      <c r="B121" s="122"/>
      <c r="C121" s="151" t="s">
        <v>200</v>
      </c>
      <c r="D121" s="85">
        <v>2640</v>
      </c>
      <c r="E121" s="86">
        <v>2640</v>
      </c>
      <c r="F121" s="86">
        <v>0</v>
      </c>
      <c r="G121" s="87">
        <v>0</v>
      </c>
      <c r="H121" s="604">
        <v>4405</v>
      </c>
      <c r="I121" s="86">
        <v>4405</v>
      </c>
      <c r="J121" s="86">
        <v>0</v>
      </c>
      <c r="K121" s="574">
        <v>0</v>
      </c>
      <c r="L121" s="87">
        <v>1104</v>
      </c>
      <c r="M121" s="86">
        <v>1104</v>
      </c>
      <c r="N121" s="86">
        <v>0</v>
      </c>
      <c r="O121" s="88">
        <v>0</v>
      </c>
      <c r="P121" s="87">
        <f t="shared" si="21"/>
        <v>5509</v>
      </c>
      <c r="Q121" s="86">
        <f t="shared" si="21"/>
        <v>5509</v>
      </c>
      <c r="R121" s="86">
        <f t="shared" si="21"/>
        <v>0</v>
      </c>
      <c r="S121" s="88">
        <f t="shared" si="21"/>
        <v>0</v>
      </c>
    </row>
    <row r="122" spans="1:19" ht="15" x14ac:dyDescent="0.25">
      <c r="A122" s="149"/>
      <c r="B122" s="122"/>
      <c r="C122" s="151" t="s">
        <v>999</v>
      </c>
      <c r="D122" s="85"/>
      <c r="E122" s="86"/>
      <c r="F122" s="86"/>
      <c r="G122" s="87"/>
      <c r="H122" s="604"/>
      <c r="I122" s="86"/>
      <c r="J122" s="86"/>
      <c r="K122" s="574"/>
      <c r="L122" s="87">
        <v>5828</v>
      </c>
      <c r="M122" s="86">
        <v>5828</v>
      </c>
      <c r="N122" s="86">
        <v>0</v>
      </c>
      <c r="O122" s="88">
        <v>0</v>
      </c>
      <c r="P122" s="87">
        <f t="shared" si="21"/>
        <v>5828</v>
      </c>
      <c r="Q122" s="86">
        <f t="shared" si="21"/>
        <v>5828</v>
      </c>
      <c r="R122" s="86">
        <f t="shared" si="21"/>
        <v>0</v>
      </c>
      <c r="S122" s="88">
        <f t="shared" si="21"/>
        <v>0</v>
      </c>
    </row>
    <row r="123" spans="1:19" ht="15" x14ac:dyDescent="0.25">
      <c r="A123" s="149"/>
      <c r="B123" s="122"/>
      <c r="C123" s="97"/>
      <c r="D123" s="85"/>
      <c r="E123" s="86"/>
      <c r="F123" s="86"/>
      <c r="G123" s="87"/>
      <c r="H123" s="604"/>
      <c r="I123" s="86"/>
      <c r="J123" s="86"/>
      <c r="K123" s="574"/>
      <c r="L123" s="87"/>
      <c r="M123" s="86"/>
      <c r="N123" s="86"/>
      <c r="O123" s="88"/>
      <c r="P123" s="87"/>
      <c r="Q123" s="86"/>
      <c r="R123" s="86"/>
      <c r="S123" s="88"/>
    </row>
    <row r="124" spans="1:19" ht="15" x14ac:dyDescent="0.25">
      <c r="A124" s="149"/>
      <c r="B124" s="122"/>
      <c r="C124" s="144" t="s">
        <v>24</v>
      </c>
      <c r="D124" s="70">
        <f t="shared" ref="D124:O124" si="31">SUM(D105:D123)</f>
        <v>137576</v>
      </c>
      <c r="E124" s="71">
        <f t="shared" si="31"/>
        <v>120505</v>
      </c>
      <c r="F124" s="71">
        <f t="shared" si="31"/>
        <v>16771</v>
      </c>
      <c r="G124" s="72">
        <f t="shared" si="31"/>
        <v>300</v>
      </c>
      <c r="H124" s="602">
        <v>146930</v>
      </c>
      <c r="I124" s="71">
        <v>129859</v>
      </c>
      <c r="J124" s="71">
        <v>16771</v>
      </c>
      <c r="K124" s="572">
        <v>300</v>
      </c>
      <c r="L124" s="72">
        <f t="shared" si="31"/>
        <v>10803</v>
      </c>
      <c r="M124" s="71">
        <f t="shared" si="31"/>
        <v>12214</v>
      </c>
      <c r="N124" s="71">
        <f t="shared" si="31"/>
        <v>-1511</v>
      </c>
      <c r="O124" s="578">
        <f t="shared" si="31"/>
        <v>100</v>
      </c>
      <c r="P124" s="72">
        <f t="shared" si="21"/>
        <v>157733</v>
      </c>
      <c r="Q124" s="71">
        <f t="shared" si="21"/>
        <v>142073</v>
      </c>
      <c r="R124" s="71">
        <f t="shared" si="21"/>
        <v>15260</v>
      </c>
      <c r="S124" s="578">
        <f t="shared" si="21"/>
        <v>400</v>
      </c>
    </row>
    <row r="125" spans="1:19" ht="15" x14ac:dyDescent="0.25">
      <c r="A125" s="149"/>
      <c r="B125" s="130"/>
      <c r="C125" s="144"/>
      <c r="D125" s="145"/>
      <c r="E125" s="146"/>
      <c r="F125" s="146"/>
      <c r="G125" s="148"/>
      <c r="H125" s="606"/>
      <c r="I125" s="146"/>
      <c r="J125" s="146"/>
      <c r="K125" s="576"/>
      <c r="L125" s="148"/>
      <c r="M125" s="146"/>
      <c r="N125" s="146"/>
      <c r="O125" s="579"/>
      <c r="P125" s="87"/>
      <c r="Q125" s="86"/>
      <c r="R125" s="86"/>
      <c r="S125" s="88"/>
    </row>
    <row r="126" spans="1:19" x14ac:dyDescent="0.25">
      <c r="A126" s="149"/>
      <c r="B126" s="155"/>
      <c r="C126" s="97" t="s">
        <v>144</v>
      </c>
      <c r="D126" s="85"/>
      <c r="E126" s="86"/>
      <c r="F126" s="86"/>
      <c r="G126" s="87"/>
      <c r="H126" s="604"/>
      <c r="I126" s="86"/>
      <c r="J126" s="86"/>
      <c r="K126" s="574"/>
      <c r="L126" s="87"/>
      <c r="M126" s="86"/>
      <c r="N126" s="86"/>
      <c r="O126" s="88"/>
      <c r="P126" s="87"/>
      <c r="Q126" s="86"/>
      <c r="R126" s="86"/>
      <c r="S126" s="88"/>
    </row>
    <row r="127" spans="1:19" ht="15" x14ac:dyDescent="0.25">
      <c r="A127" s="60"/>
      <c r="B127" s="130"/>
      <c r="C127" s="97" t="s">
        <v>176</v>
      </c>
      <c r="D127" s="63">
        <v>5000</v>
      </c>
      <c r="E127" s="41">
        <v>5000</v>
      </c>
      <c r="F127" s="41">
        <v>0</v>
      </c>
      <c r="G127" s="64">
        <v>0</v>
      </c>
      <c r="H127" s="65">
        <v>5000</v>
      </c>
      <c r="I127" s="41">
        <v>5000</v>
      </c>
      <c r="J127" s="41">
        <v>0</v>
      </c>
      <c r="K127" s="569">
        <v>0</v>
      </c>
      <c r="L127" s="64"/>
      <c r="M127" s="41"/>
      <c r="N127" s="41"/>
      <c r="O127" s="66"/>
      <c r="P127" s="64">
        <f t="shared" si="21"/>
        <v>5000</v>
      </c>
      <c r="Q127" s="41">
        <f t="shared" si="21"/>
        <v>5000</v>
      </c>
      <c r="R127" s="41">
        <f t="shared" si="21"/>
        <v>0</v>
      </c>
      <c r="S127" s="66">
        <f t="shared" si="21"/>
        <v>0</v>
      </c>
    </row>
    <row r="128" spans="1:19" ht="15" x14ac:dyDescent="0.25">
      <c r="A128" s="60"/>
      <c r="B128" s="130"/>
      <c r="C128" s="97" t="s">
        <v>177</v>
      </c>
      <c r="D128" s="63">
        <v>11000</v>
      </c>
      <c r="E128" s="41">
        <v>11000</v>
      </c>
      <c r="F128" s="41">
        <v>0</v>
      </c>
      <c r="G128" s="64">
        <v>0</v>
      </c>
      <c r="H128" s="65">
        <v>11000</v>
      </c>
      <c r="I128" s="41">
        <v>11000</v>
      </c>
      <c r="J128" s="41">
        <v>0</v>
      </c>
      <c r="K128" s="569">
        <v>0</v>
      </c>
      <c r="L128" s="64"/>
      <c r="M128" s="41"/>
      <c r="N128" s="41"/>
      <c r="O128" s="66"/>
      <c r="P128" s="64">
        <f t="shared" si="21"/>
        <v>11000</v>
      </c>
      <c r="Q128" s="41">
        <f t="shared" si="21"/>
        <v>11000</v>
      </c>
      <c r="R128" s="41">
        <f t="shared" si="21"/>
        <v>0</v>
      </c>
      <c r="S128" s="66">
        <f t="shared" si="21"/>
        <v>0</v>
      </c>
    </row>
    <row r="129" spans="1:19" ht="30" x14ac:dyDescent="0.25">
      <c r="A129" s="60"/>
      <c r="B129" s="130"/>
      <c r="C129" s="97" t="s">
        <v>186</v>
      </c>
      <c r="D129" s="63">
        <v>136000</v>
      </c>
      <c r="E129" s="41">
        <v>136000</v>
      </c>
      <c r="F129" s="41">
        <v>0</v>
      </c>
      <c r="G129" s="64">
        <v>0</v>
      </c>
      <c r="H129" s="65">
        <v>136000</v>
      </c>
      <c r="I129" s="41">
        <v>136000</v>
      </c>
      <c r="J129" s="41">
        <v>0</v>
      </c>
      <c r="K129" s="569">
        <v>0</v>
      </c>
      <c r="L129" s="64"/>
      <c r="M129" s="41"/>
      <c r="N129" s="41"/>
      <c r="O129" s="66"/>
      <c r="P129" s="64">
        <f t="shared" si="21"/>
        <v>136000</v>
      </c>
      <c r="Q129" s="41">
        <f t="shared" si="21"/>
        <v>136000</v>
      </c>
      <c r="R129" s="41">
        <f t="shared" si="21"/>
        <v>0</v>
      </c>
      <c r="S129" s="66">
        <f t="shared" si="21"/>
        <v>0</v>
      </c>
    </row>
    <row r="130" spans="1:19" ht="30" x14ac:dyDescent="0.25">
      <c r="A130" s="60"/>
      <c r="B130" s="130"/>
      <c r="C130" s="97" t="s">
        <v>187</v>
      </c>
      <c r="D130" s="85">
        <v>30342</v>
      </c>
      <c r="E130" s="86">
        <v>30342</v>
      </c>
      <c r="F130" s="86">
        <v>0</v>
      </c>
      <c r="G130" s="87">
        <v>0</v>
      </c>
      <c r="H130" s="604">
        <v>30342</v>
      </c>
      <c r="I130" s="86">
        <v>30342</v>
      </c>
      <c r="J130" s="86">
        <v>0</v>
      </c>
      <c r="K130" s="574">
        <v>0</v>
      </c>
      <c r="L130" s="87"/>
      <c r="M130" s="86"/>
      <c r="N130" s="86"/>
      <c r="O130" s="88"/>
      <c r="P130" s="87">
        <f t="shared" si="21"/>
        <v>30342</v>
      </c>
      <c r="Q130" s="86">
        <f t="shared" si="21"/>
        <v>30342</v>
      </c>
      <c r="R130" s="86">
        <f t="shared" si="21"/>
        <v>0</v>
      </c>
      <c r="S130" s="88">
        <f t="shared" si="21"/>
        <v>0</v>
      </c>
    </row>
    <row r="131" spans="1:19" ht="15" x14ac:dyDescent="0.25">
      <c r="A131" s="60"/>
      <c r="B131" s="130"/>
      <c r="C131" s="97" t="s">
        <v>882</v>
      </c>
      <c r="D131" s="85">
        <v>603</v>
      </c>
      <c r="E131" s="86">
        <v>603</v>
      </c>
      <c r="F131" s="86">
        <v>0</v>
      </c>
      <c r="G131" s="87">
        <v>0</v>
      </c>
      <c r="H131" s="604">
        <v>603</v>
      </c>
      <c r="I131" s="86">
        <v>603</v>
      </c>
      <c r="J131" s="86">
        <v>0</v>
      </c>
      <c r="K131" s="574">
        <v>0</v>
      </c>
      <c r="L131" s="87">
        <v>5231</v>
      </c>
      <c r="M131" s="86">
        <v>5231</v>
      </c>
      <c r="N131" s="86">
        <v>0</v>
      </c>
      <c r="O131" s="88">
        <v>0</v>
      </c>
      <c r="P131" s="87">
        <f t="shared" si="21"/>
        <v>5834</v>
      </c>
      <c r="Q131" s="86">
        <f t="shared" si="21"/>
        <v>5834</v>
      </c>
      <c r="R131" s="86">
        <f t="shared" si="21"/>
        <v>0</v>
      </c>
      <c r="S131" s="88">
        <f t="shared" si="21"/>
        <v>0</v>
      </c>
    </row>
    <row r="132" spans="1:19" ht="30" x14ac:dyDescent="0.25">
      <c r="A132" s="60"/>
      <c r="B132" s="130"/>
      <c r="C132" s="97" t="s">
        <v>883</v>
      </c>
      <c r="D132" s="85">
        <v>28706</v>
      </c>
      <c r="E132" s="86">
        <v>28706</v>
      </c>
      <c r="F132" s="86">
        <v>0</v>
      </c>
      <c r="G132" s="87">
        <v>0</v>
      </c>
      <c r="H132" s="604">
        <v>28706</v>
      </c>
      <c r="I132" s="86">
        <v>28706</v>
      </c>
      <c r="J132" s="86">
        <v>0</v>
      </c>
      <c r="K132" s="574">
        <v>0</v>
      </c>
      <c r="L132" s="87"/>
      <c r="M132" s="86"/>
      <c r="N132" s="86"/>
      <c r="O132" s="88"/>
      <c r="P132" s="87">
        <f t="shared" si="21"/>
        <v>28706</v>
      </c>
      <c r="Q132" s="86">
        <f t="shared" si="21"/>
        <v>28706</v>
      </c>
      <c r="R132" s="86">
        <f t="shared" si="21"/>
        <v>0</v>
      </c>
      <c r="S132" s="88">
        <f t="shared" si="21"/>
        <v>0</v>
      </c>
    </row>
    <row r="133" spans="1:19" ht="30" x14ac:dyDescent="0.25">
      <c r="A133" s="60"/>
      <c r="B133" s="130"/>
      <c r="C133" s="97" t="s">
        <v>965</v>
      </c>
      <c r="D133" s="85">
        <v>9132</v>
      </c>
      <c r="E133" s="86">
        <v>9132</v>
      </c>
      <c r="F133" s="86">
        <v>0</v>
      </c>
      <c r="G133" s="87">
        <v>0</v>
      </c>
      <c r="H133" s="604">
        <v>9132</v>
      </c>
      <c r="I133" s="86">
        <v>9132</v>
      </c>
      <c r="J133" s="86">
        <v>0</v>
      </c>
      <c r="K133" s="574">
        <v>0</v>
      </c>
      <c r="L133" s="87"/>
      <c r="M133" s="86"/>
      <c r="N133" s="86"/>
      <c r="O133" s="88"/>
      <c r="P133" s="87">
        <f t="shared" si="21"/>
        <v>9132</v>
      </c>
      <c r="Q133" s="86">
        <f t="shared" si="21"/>
        <v>9132</v>
      </c>
      <c r="R133" s="86">
        <f t="shared" si="21"/>
        <v>0</v>
      </c>
      <c r="S133" s="88">
        <f t="shared" si="21"/>
        <v>0</v>
      </c>
    </row>
    <row r="134" spans="1:19" ht="30" x14ac:dyDescent="0.25">
      <c r="A134" s="60"/>
      <c r="B134" s="130"/>
      <c r="C134" s="97" t="s">
        <v>966</v>
      </c>
      <c r="D134" s="85">
        <v>20540</v>
      </c>
      <c r="E134" s="86">
        <v>20540</v>
      </c>
      <c r="F134" s="86">
        <v>0</v>
      </c>
      <c r="G134" s="87">
        <v>0</v>
      </c>
      <c r="H134" s="604">
        <v>20540</v>
      </c>
      <c r="I134" s="86">
        <v>20540</v>
      </c>
      <c r="J134" s="86">
        <v>0</v>
      </c>
      <c r="K134" s="574">
        <v>0</v>
      </c>
      <c r="L134" s="87"/>
      <c r="M134" s="86"/>
      <c r="N134" s="86"/>
      <c r="O134" s="88"/>
      <c r="P134" s="87">
        <f t="shared" si="21"/>
        <v>20540</v>
      </c>
      <c r="Q134" s="86">
        <f t="shared" si="21"/>
        <v>20540</v>
      </c>
      <c r="R134" s="86">
        <f t="shared" si="21"/>
        <v>0</v>
      </c>
      <c r="S134" s="88">
        <f t="shared" si="21"/>
        <v>0</v>
      </c>
    </row>
    <row r="135" spans="1:19" ht="30" x14ac:dyDescent="0.25">
      <c r="A135" s="60"/>
      <c r="B135" s="130"/>
      <c r="C135" s="97" t="s">
        <v>967</v>
      </c>
      <c r="D135" s="85">
        <v>22348</v>
      </c>
      <c r="E135" s="86">
        <v>22348</v>
      </c>
      <c r="F135" s="86">
        <v>0</v>
      </c>
      <c r="G135" s="87">
        <v>0</v>
      </c>
      <c r="H135" s="604">
        <v>22348</v>
      </c>
      <c r="I135" s="86">
        <v>22348</v>
      </c>
      <c r="J135" s="86">
        <v>0</v>
      </c>
      <c r="K135" s="574">
        <v>0</v>
      </c>
      <c r="L135" s="87"/>
      <c r="M135" s="86"/>
      <c r="N135" s="86"/>
      <c r="O135" s="88"/>
      <c r="P135" s="87">
        <f t="shared" si="21"/>
        <v>22348</v>
      </c>
      <c r="Q135" s="86">
        <f t="shared" si="21"/>
        <v>22348</v>
      </c>
      <c r="R135" s="86">
        <f t="shared" si="21"/>
        <v>0</v>
      </c>
      <c r="S135" s="88">
        <f t="shared" si="21"/>
        <v>0</v>
      </c>
    </row>
    <row r="136" spans="1:19" ht="30" x14ac:dyDescent="0.25">
      <c r="A136" s="60"/>
      <c r="B136" s="130"/>
      <c r="C136" s="97" t="s">
        <v>968</v>
      </c>
      <c r="D136" s="85"/>
      <c r="E136" s="86"/>
      <c r="F136" s="86"/>
      <c r="G136" s="87"/>
      <c r="H136" s="604">
        <v>190772</v>
      </c>
      <c r="I136" s="86">
        <v>190772</v>
      </c>
      <c r="J136" s="86">
        <v>0</v>
      </c>
      <c r="K136" s="574">
        <v>0</v>
      </c>
      <c r="L136" s="87"/>
      <c r="M136" s="86"/>
      <c r="N136" s="86"/>
      <c r="O136" s="88"/>
      <c r="P136" s="87">
        <f t="shared" si="21"/>
        <v>190772</v>
      </c>
      <c r="Q136" s="86">
        <f t="shared" si="21"/>
        <v>190772</v>
      </c>
      <c r="R136" s="86">
        <f t="shared" si="21"/>
        <v>0</v>
      </c>
      <c r="S136" s="88">
        <f t="shared" si="21"/>
        <v>0</v>
      </c>
    </row>
    <row r="137" spans="1:19" ht="15" x14ac:dyDescent="0.25">
      <c r="A137" s="60"/>
      <c r="B137" s="130"/>
      <c r="C137" s="97"/>
      <c r="D137" s="63"/>
      <c r="E137" s="41"/>
      <c r="F137" s="41"/>
      <c r="G137" s="64"/>
      <c r="H137" s="65"/>
      <c r="I137" s="41"/>
      <c r="J137" s="41"/>
      <c r="K137" s="569"/>
      <c r="L137" s="64"/>
      <c r="M137" s="41"/>
      <c r="N137" s="41"/>
      <c r="O137" s="66"/>
      <c r="P137" s="64"/>
      <c r="Q137" s="41"/>
      <c r="R137" s="41"/>
      <c r="S137" s="66"/>
    </row>
    <row r="138" spans="1:19" ht="15" x14ac:dyDescent="0.25">
      <c r="A138" s="60"/>
      <c r="B138" s="130"/>
      <c r="C138" s="144" t="s">
        <v>24</v>
      </c>
      <c r="D138" s="145">
        <f t="shared" ref="D138:O138" si="32">SUM(D127:D137)</f>
        <v>263671</v>
      </c>
      <c r="E138" s="146">
        <f t="shared" si="32"/>
        <v>263671</v>
      </c>
      <c r="F138" s="146">
        <f t="shared" si="32"/>
        <v>0</v>
      </c>
      <c r="G138" s="148">
        <f t="shared" si="32"/>
        <v>0</v>
      </c>
      <c r="H138" s="606">
        <v>454443</v>
      </c>
      <c r="I138" s="146">
        <v>454443</v>
      </c>
      <c r="J138" s="146">
        <v>0</v>
      </c>
      <c r="K138" s="576">
        <v>0</v>
      </c>
      <c r="L138" s="148">
        <f t="shared" si="32"/>
        <v>5231</v>
      </c>
      <c r="M138" s="146">
        <f t="shared" si="32"/>
        <v>5231</v>
      </c>
      <c r="N138" s="146">
        <f t="shared" si="32"/>
        <v>0</v>
      </c>
      <c r="O138" s="579">
        <f t="shared" si="32"/>
        <v>0</v>
      </c>
      <c r="P138" s="148">
        <f t="shared" si="21"/>
        <v>459674</v>
      </c>
      <c r="Q138" s="146">
        <f t="shared" si="21"/>
        <v>459674</v>
      </c>
      <c r="R138" s="146">
        <f t="shared" si="21"/>
        <v>0</v>
      </c>
      <c r="S138" s="579">
        <f t="shared" si="21"/>
        <v>0</v>
      </c>
    </row>
    <row r="139" spans="1:19" ht="15" x14ac:dyDescent="0.25">
      <c r="A139" s="60"/>
      <c r="B139" s="130"/>
      <c r="C139" s="144"/>
      <c r="D139" s="145"/>
      <c r="E139" s="146"/>
      <c r="F139" s="146"/>
      <c r="G139" s="148"/>
      <c r="H139" s="606"/>
      <c r="I139" s="146"/>
      <c r="J139" s="146"/>
      <c r="K139" s="576"/>
      <c r="L139" s="148"/>
      <c r="M139" s="146"/>
      <c r="N139" s="146"/>
      <c r="O139" s="579"/>
      <c r="P139" s="87"/>
      <c r="Q139" s="86"/>
      <c r="R139" s="86"/>
      <c r="S139" s="88"/>
    </row>
    <row r="140" spans="1:19" ht="15" x14ac:dyDescent="0.25">
      <c r="A140" s="149"/>
      <c r="B140" s="130"/>
      <c r="C140" s="139" t="s">
        <v>52</v>
      </c>
      <c r="D140" s="140">
        <f t="shared" ref="D140:O140" si="33">D124+D138</f>
        <v>401247</v>
      </c>
      <c r="E140" s="141">
        <f t="shared" si="33"/>
        <v>384176</v>
      </c>
      <c r="F140" s="141">
        <f t="shared" si="33"/>
        <v>16771</v>
      </c>
      <c r="G140" s="143">
        <f t="shared" si="33"/>
        <v>300</v>
      </c>
      <c r="H140" s="605">
        <v>601373</v>
      </c>
      <c r="I140" s="141">
        <v>584302</v>
      </c>
      <c r="J140" s="141">
        <v>16771</v>
      </c>
      <c r="K140" s="575">
        <v>300</v>
      </c>
      <c r="L140" s="143">
        <f t="shared" si="33"/>
        <v>16034</v>
      </c>
      <c r="M140" s="141">
        <f t="shared" si="33"/>
        <v>17445</v>
      </c>
      <c r="N140" s="141">
        <f t="shared" si="33"/>
        <v>-1511</v>
      </c>
      <c r="O140" s="580">
        <f t="shared" si="33"/>
        <v>100</v>
      </c>
      <c r="P140" s="143">
        <f t="shared" si="21"/>
        <v>617407</v>
      </c>
      <c r="Q140" s="141">
        <f t="shared" si="21"/>
        <v>601747</v>
      </c>
      <c r="R140" s="141">
        <f t="shared" si="21"/>
        <v>15260</v>
      </c>
      <c r="S140" s="580">
        <f t="shared" si="21"/>
        <v>400</v>
      </c>
    </row>
    <row r="141" spans="1:19" ht="15" x14ac:dyDescent="0.25">
      <c r="A141" s="149"/>
      <c r="B141" s="130"/>
      <c r="C141" s="139"/>
      <c r="D141" s="140"/>
      <c r="E141" s="141"/>
      <c r="F141" s="141"/>
      <c r="G141" s="143"/>
      <c r="H141" s="605"/>
      <c r="I141" s="141"/>
      <c r="J141" s="141"/>
      <c r="K141" s="575"/>
      <c r="L141" s="143"/>
      <c r="M141" s="141"/>
      <c r="N141" s="141"/>
      <c r="O141" s="580"/>
      <c r="P141" s="87"/>
      <c r="Q141" s="86"/>
      <c r="R141" s="86"/>
      <c r="S141" s="88"/>
    </row>
    <row r="142" spans="1:19" ht="15" x14ac:dyDescent="0.25">
      <c r="A142" s="149"/>
      <c r="B142" s="122" t="s">
        <v>17</v>
      </c>
      <c r="C142" s="97" t="s">
        <v>54</v>
      </c>
      <c r="D142" s="85"/>
      <c r="E142" s="86"/>
      <c r="F142" s="86"/>
      <c r="G142" s="87"/>
      <c r="H142" s="604"/>
      <c r="I142" s="86"/>
      <c r="J142" s="86"/>
      <c r="K142" s="574"/>
      <c r="L142" s="87"/>
      <c r="M142" s="86"/>
      <c r="N142" s="86"/>
      <c r="O142" s="88"/>
      <c r="P142" s="87"/>
      <c r="Q142" s="86"/>
      <c r="R142" s="86"/>
      <c r="S142" s="88"/>
    </row>
    <row r="143" spans="1:19" ht="15" x14ac:dyDescent="0.25">
      <c r="A143" s="149"/>
      <c r="B143" s="156"/>
      <c r="C143" s="97" t="s">
        <v>67</v>
      </c>
      <c r="D143" s="85"/>
      <c r="E143" s="86"/>
      <c r="F143" s="86"/>
      <c r="G143" s="87"/>
      <c r="H143" s="604"/>
      <c r="I143" s="86"/>
      <c r="J143" s="86"/>
      <c r="K143" s="574"/>
      <c r="L143" s="87"/>
      <c r="M143" s="86"/>
      <c r="N143" s="86"/>
      <c r="O143" s="88"/>
      <c r="P143" s="87"/>
      <c r="Q143" s="86"/>
      <c r="R143" s="86"/>
      <c r="S143" s="88"/>
    </row>
    <row r="144" spans="1:19" ht="15" x14ac:dyDescent="0.25">
      <c r="A144" s="149"/>
      <c r="B144" s="156"/>
      <c r="C144" s="151" t="s">
        <v>188</v>
      </c>
      <c r="D144" s="85">
        <v>2500</v>
      </c>
      <c r="E144" s="86">
        <v>2500</v>
      </c>
      <c r="F144" s="86">
        <v>0</v>
      </c>
      <c r="G144" s="87">
        <v>0</v>
      </c>
      <c r="H144" s="604">
        <v>2500</v>
      </c>
      <c r="I144" s="86">
        <v>2500</v>
      </c>
      <c r="J144" s="86">
        <v>0</v>
      </c>
      <c r="K144" s="574">
        <v>0</v>
      </c>
      <c r="L144" s="87"/>
      <c r="M144" s="86"/>
      <c r="N144" s="86"/>
      <c r="O144" s="88"/>
      <c r="P144" s="87">
        <f t="shared" si="21"/>
        <v>2500</v>
      </c>
      <c r="Q144" s="86">
        <f t="shared" si="21"/>
        <v>2500</v>
      </c>
      <c r="R144" s="86">
        <f t="shared" si="21"/>
        <v>0</v>
      </c>
      <c r="S144" s="88">
        <f t="shared" si="21"/>
        <v>0</v>
      </c>
    </row>
    <row r="145" spans="1:19" ht="15" x14ac:dyDescent="0.25">
      <c r="A145" s="149"/>
      <c r="B145" s="156"/>
      <c r="C145" s="151" t="s">
        <v>189</v>
      </c>
      <c r="D145" s="85">
        <v>2260</v>
      </c>
      <c r="E145" s="86">
        <v>2260</v>
      </c>
      <c r="F145" s="86">
        <v>0</v>
      </c>
      <c r="G145" s="87">
        <v>0</v>
      </c>
      <c r="H145" s="604">
        <v>2260</v>
      </c>
      <c r="I145" s="86">
        <v>2260</v>
      </c>
      <c r="J145" s="86">
        <v>0</v>
      </c>
      <c r="K145" s="574">
        <v>0</v>
      </c>
      <c r="L145" s="87"/>
      <c r="M145" s="86"/>
      <c r="N145" s="86"/>
      <c r="O145" s="88"/>
      <c r="P145" s="87">
        <f t="shared" si="21"/>
        <v>2260</v>
      </c>
      <c r="Q145" s="86">
        <f t="shared" si="21"/>
        <v>2260</v>
      </c>
      <c r="R145" s="86">
        <f t="shared" si="21"/>
        <v>0</v>
      </c>
      <c r="S145" s="88">
        <f t="shared" si="21"/>
        <v>0</v>
      </c>
    </row>
    <row r="146" spans="1:19" ht="15" x14ac:dyDescent="0.25">
      <c r="A146" s="149"/>
      <c r="B146" s="156"/>
      <c r="C146" s="151" t="s">
        <v>969</v>
      </c>
      <c r="D146" s="85"/>
      <c r="E146" s="86"/>
      <c r="F146" s="86"/>
      <c r="G146" s="87"/>
      <c r="H146" s="604">
        <v>1500</v>
      </c>
      <c r="I146" s="86">
        <v>1500</v>
      </c>
      <c r="J146" s="86">
        <v>0</v>
      </c>
      <c r="K146" s="574">
        <v>0</v>
      </c>
      <c r="L146" s="87"/>
      <c r="M146" s="86"/>
      <c r="N146" s="86"/>
      <c r="O146" s="88"/>
      <c r="P146" s="87">
        <f t="shared" si="21"/>
        <v>1500</v>
      </c>
      <c r="Q146" s="86">
        <f t="shared" si="21"/>
        <v>1500</v>
      </c>
      <c r="R146" s="86">
        <f t="shared" si="21"/>
        <v>0</v>
      </c>
      <c r="S146" s="88">
        <f t="shared" si="21"/>
        <v>0</v>
      </c>
    </row>
    <row r="147" spans="1:19" ht="15" x14ac:dyDescent="0.25">
      <c r="A147" s="149"/>
      <c r="B147" s="156"/>
      <c r="C147" s="151" t="s">
        <v>1000</v>
      </c>
      <c r="D147" s="85"/>
      <c r="E147" s="86"/>
      <c r="F147" s="86"/>
      <c r="G147" s="87"/>
      <c r="H147" s="604"/>
      <c r="I147" s="86"/>
      <c r="J147" s="86"/>
      <c r="K147" s="574"/>
      <c r="L147" s="87">
        <v>1500</v>
      </c>
      <c r="M147" s="86">
        <v>1500</v>
      </c>
      <c r="N147" s="86">
        <v>0</v>
      </c>
      <c r="O147" s="88">
        <v>0</v>
      </c>
      <c r="P147" s="87">
        <f t="shared" si="21"/>
        <v>1500</v>
      </c>
      <c r="Q147" s="86">
        <f t="shared" si="21"/>
        <v>1500</v>
      </c>
      <c r="R147" s="86">
        <f t="shared" si="21"/>
        <v>0</v>
      </c>
      <c r="S147" s="88">
        <f t="shared" si="21"/>
        <v>0</v>
      </c>
    </row>
    <row r="148" spans="1:19" ht="15" x14ac:dyDescent="0.25">
      <c r="A148" s="149"/>
      <c r="B148" s="156"/>
      <c r="C148" s="97"/>
      <c r="D148" s="63"/>
      <c r="E148" s="41"/>
      <c r="F148" s="86"/>
      <c r="G148" s="87"/>
      <c r="H148" s="604"/>
      <c r="I148" s="86"/>
      <c r="J148" s="86"/>
      <c r="K148" s="574"/>
      <c r="L148" s="64"/>
      <c r="M148" s="41"/>
      <c r="N148" s="86"/>
      <c r="O148" s="88"/>
      <c r="P148" s="64"/>
      <c r="Q148" s="41"/>
      <c r="R148" s="86"/>
      <c r="S148" s="88"/>
    </row>
    <row r="149" spans="1:19" ht="17.25" x14ac:dyDescent="0.3">
      <c r="A149" s="157"/>
      <c r="B149" s="130"/>
      <c r="C149" s="144" t="s">
        <v>24</v>
      </c>
      <c r="D149" s="145">
        <f t="shared" ref="D149:O149" si="34">SUM(D144:D148)</f>
        <v>4760</v>
      </c>
      <c r="E149" s="146">
        <f t="shared" si="34"/>
        <v>4760</v>
      </c>
      <c r="F149" s="146">
        <f t="shared" si="34"/>
        <v>0</v>
      </c>
      <c r="G149" s="148">
        <f t="shared" si="34"/>
        <v>0</v>
      </c>
      <c r="H149" s="606">
        <v>6260</v>
      </c>
      <c r="I149" s="146">
        <v>6260</v>
      </c>
      <c r="J149" s="146">
        <v>0</v>
      </c>
      <c r="K149" s="576">
        <v>0</v>
      </c>
      <c r="L149" s="148">
        <f t="shared" si="34"/>
        <v>1500</v>
      </c>
      <c r="M149" s="146">
        <f t="shared" si="34"/>
        <v>1500</v>
      </c>
      <c r="N149" s="146">
        <f t="shared" si="34"/>
        <v>0</v>
      </c>
      <c r="O149" s="579">
        <f t="shared" si="34"/>
        <v>0</v>
      </c>
      <c r="P149" s="148">
        <f t="shared" si="21"/>
        <v>7760</v>
      </c>
      <c r="Q149" s="146">
        <f t="shared" si="21"/>
        <v>7760</v>
      </c>
      <c r="R149" s="146">
        <f t="shared" si="21"/>
        <v>0</v>
      </c>
      <c r="S149" s="579">
        <f t="shared" si="21"/>
        <v>0</v>
      </c>
    </row>
    <row r="150" spans="1:19" ht="15" x14ac:dyDescent="0.25">
      <c r="A150" s="95"/>
      <c r="B150" s="122"/>
      <c r="C150" s="97"/>
      <c r="D150" s="85"/>
      <c r="E150" s="86"/>
      <c r="F150" s="86"/>
      <c r="G150" s="87"/>
      <c r="H150" s="604"/>
      <c r="I150" s="86"/>
      <c r="J150" s="86"/>
      <c r="K150" s="574"/>
      <c r="L150" s="87"/>
      <c r="M150" s="86"/>
      <c r="N150" s="86"/>
      <c r="O150" s="88"/>
      <c r="P150" s="87"/>
      <c r="Q150" s="86"/>
      <c r="R150" s="86"/>
      <c r="S150" s="88"/>
    </row>
    <row r="151" spans="1:19" ht="15" x14ac:dyDescent="0.25">
      <c r="A151" s="95"/>
      <c r="B151" s="122"/>
      <c r="C151" s="97" t="s">
        <v>68</v>
      </c>
      <c r="D151" s="85"/>
      <c r="E151" s="86"/>
      <c r="F151" s="86"/>
      <c r="G151" s="87"/>
      <c r="H151" s="604"/>
      <c r="I151" s="86"/>
      <c r="J151" s="86"/>
      <c r="K151" s="574"/>
      <c r="L151" s="87"/>
      <c r="M151" s="86"/>
      <c r="N151" s="86"/>
      <c r="O151" s="88"/>
      <c r="P151" s="87"/>
      <c r="Q151" s="86"/>
      <c r="R151" s="86"/>
      <c r="S151" s="88"/>
    </row>
    <row r="152" spans="1:19" ht="15" x14ac:dyDescent="0.25">
      <c r="A152" s="95"/>
      <c r="B152" s="122"/>
      <c r="C152" s="97" t="s">
        <v>181</v>
      </c>
      <c r="D152" s="85">
        <v>400</v>
      </c>
      <c r="E152" s="86">
        <v>400</v>
      </c>
      <c r="F152" s="86">
        <v>0</v>
      </c>
      <c r="G152" s="87">
        <v>0</v>
      </c>
      <c r="H152" s="604">
        <v>400</v>
      </c>
      <c r="I152" s="86">
        <v>400</v>
      </c>
      <c r="J152" s="86">
        <v>0</v>
      </c>
      <c r="K152" s="574">
        <v>0</v>
      </c>
      <c r="L152" s="87"/>
      <c r="M152" s="86"/>
      <c r="N152" s="86"/>
      <c r="O152" s="88"/>
      <c r="P152" s="87">
        <f t="shared" si="21"/>
        <v>400</v>
      </c>
      <c r="Q152" s="86">
        <f t="shared" si="21"/>
        <v>400</v>
      </c>
      <c r="R152" s="86">
        <f t="shared" si="21"/>
        <v>0</v>
      </c>
      <c r="S152" s="88">
        <f t="shared" si="21"/>
        <v>0</v>
      </c>
    </row>
    <row r="153" spans="1:19" ht="15" x14ac:dyDescent="0.25">
      <c r="A153" s="60"/>
      <c r="B153" s="156"/>
      <c r="C153" s="97"/>
      <c r="D153" s="85"/>
      <c r="E153" s="86"/>
      <c r="F153" s="86"/>
      <c r="G153" s="87"/>
      <c r="H153" s="604"/>
      <c r="I153" s="86"/>
      <c r="J153" s="86"/>
      <c r="K153" s="574"/>
      <c r="L153" s="87"/>
      <c r="M153" s="86"/>
      <c r="N153" s="86"/>
      <c r="O153" s="88"/>
      <c r="P153" s="87"/>
      <c r="Q153" s="86"/>
      <c r="R153" s="86"/>
      <c r="S153" s="88"/>
    </row>
    <row r="154" spans="1:19" ht="15" x14ac:dyDescent="0.25">
      <c r="A154" s="60"/>
      <c r="B154" s="129"/>
      <c r="C154" s="144" t="s">
        <v>24</v>
      </c>
      <c r="D154" s="145">
        <f t="shared" ref="D154:G154" si="35">SUM(D152:D153)</f>
        <v>400</v>
      </c>
      <c r="E154" s="146">
        <f t="shared" si="35"/>
        <v>400</v>
      </c>
      <c r="F154" s="146">
        <f t="shared" si="35"/>
        <v>0</v>
      </c>
      <c r="G154" s="148">
        <f t="shared" si="35"/>
        <v>0</v>
      </c>
      <c r="H154" s="606">
        <v>400</v>
      </c>
      <c r="I154" s="146">
        <v>400</v>
      </c>
      <c r="J154" s="146">
        <v>0</v>
      </c>
      <c r="K154" s="576">
        <v>0</v>
      </c>
      <c r="L154" s="148">
        <f t="shared" ref="L154:O154" si="36">SUM(L152:L153)</f>
        <v>0</v>
      </c>
      <c r="M154" s="146">
        <f t="shared" si="36"/>
        <v>0</v>
      </c>
      <c r="N154" s="146">
        <f t="shared" si="36"/>
        <v>0</v>
      </c>
      <c r="O154" s="579">
        <f t="shared" si="36"/>
        <v>0</v>
      </c>
      <c r="P154" s="148">
        <f t="shared" ref="P154:S200" si="37">H154+L154</f>
        <v>400</v>
      </c>
      <c r="Q154" s="146">
        <f t="shared" si="37"/>
        <v>400</v>
      </c>
      <c r="R154" s="146">
        <f t="shared" si="37"/>
        <v>0</v>
      </c>
      <c r="S154" s="579">
        <f t="shared" si="37"/>
        <v>0</v>
      </c>
    </row>
    <row r="155" spans="1:19" ht="15" x14ac:dyDescent="0.25">
      <c r="A155" s="60"/>
      <c r="B155" s="129"/>
      <c r="C155" s="144"/>
      <c r="D155" s="145"/>
      <c r="E155" s="146"/>
      <c r="F155" s="146"/>
      <c r="G155" s="148"/>
      <c r="H155" s="606"/>
      <c r="I155" s="146"/>
      <c r="J155" s="146"/>
      <c r="K155" s="576"/>
      <c r="L155" s="148"/>
      <c r="M155" s="146"/>
      <c r="N155" s="146"/>
      <c r="O155" s="579"/>
      <c r="P155" s="148"/>
      <c r="Q155" s="146"/>
      <c r="R155" s="146"/>
      <c r="S155" s="579"/>
    </row>
    <row r="156" spans="1:19" ht="15" x14ac:dyDescent="0.25">
      <c r="A156" s="60"/>
      <c r="B156" s="129"/>
      <c r="C156" s="139" t="s">
        <v>58</v>
      </c>
      <c r="D156" s="140">
        <f t="shared" ref="D156:G156" si="38">D149+D154</f>
        <v>5160</v>
      </c>
      <c r="E156" s="141">
        <f t="shared" si="38"/>
        <v>5160</v>
      </c>
      <c r="F156" s="141">
        <f t="shared" si="38"/>
        <v>0</v>
      </c>
      <c r="G156" s="143">
        <f t="shared" si="38"/>
        <v>0</v>
      </c>
      <c r="H156" s="605">
        <v>6660</v>
      </c>
      <c r="I156" s="141">
        <v>6660</v>
      </c>
      <c r="J156" s="141">
        <v>0</v>
      </c>
      <c r="K156" s="575">
        <v>0</v>
      </c>
      <c r="L156" s="143">
        <f t="shared" ref="L156:O156" si="39">L149+L154</f>
        <v>1500</v>
      </c>
      <c r="M156" s="141">
        <f t="shared" si="39"/>
        <v>1500</v>
      </c>
      <c r="N156" s="141">
        <f t="shared" si="39"/>
        <v>0</v>
      </c>
      <c r="O156" s="580">
        <f t="shared" si="39"/>
        <v>0</v>
      </c>
      <c r="P156" s="143">
        <f t="shared" si="37"/>
        <v>8160</v>
      </c>
      <c r="Q156" s="141">
        <f t="shared" si="37"/>
        <v>8160</v>
      </c>
      <c r="R156" s="141">
        <f t="shared" si="37"/>
        <v>0</v>
      </c>
      <c r="S156" s="580">
        <f t="shared" si="37"/>
        <v>0</v>
      </c>
    </row>
    <row r="157" spans="1:19" ht="15" x14ac:dyDescent="0.25">
      <c r="A157" s="60"/>
      <c r="B157" s="129"/>
      <c r="C157" s="144"/>
      <c r="D157" s="145"/>
      <c r="E157" s="146"/>
      <c r="F157" s="146"/>
      <c r="G157" s="148"/>
      <c r="H157" s="606"/>
      <c r="I157" s="146"/>
      <c r="J157" s="146"/>
      <c r="K157" s="576"/>
      <c r="L157" s="148"/>
      <c r="M157" s="146"/>
      <c r="N157" s="146"/>
      <c r="O157" s="579"/>
      <c r="P157" s="87"/>
      <c r="Q157" s="86"/>
      <c r="R157" s="86"/>
      <c r="S157" s="88"/>
    </row>
    <row r="158" spans="1:19" ht="15" x14ac:dyDescent="0.25">
      <c r="A158" s="60"/>
      <c r="B158" s="122" t="s">
        <v>19</v>
      </c>
      <c r="C158" s="97" t="s">
        <v>2</v>
      </c>
      <c r="D158" s="85"/>
      <c r="E158" s="86"/>
      <c r="F158" s="86"/>
      <c r="G158" s="87"/>
      <c r="H158" s="604"/>
      <c r="I158" s="86"/>
      <c r="J158" s="86"/>
      <c r="K158" s="574"/>
      <c r="L158" s="87"/>
      <c r="M158" s="86"/>
      <c r="N158" s="86"/>
      <c r="O158" s="88"/>
      <c r="P158" s="87"/>
      <c r="Q158" s="86"/>
      <c r="R158" s="86"/>
      <c r="S158" s="88"/>
    </row>
    <row r="159" spans="1:19" ht="15" x14ac:dyDescent="0.25">
      <c r="A159" s="60"/>
      <c r="B159" s="129"/>
      <c r="C159" s="97" t="s">
        <v>56</v>
      </c>
      <c r="D159" s="85"/>
      <c r="E159" s="86"/>
      <c r="F159" s="86"/>
      <c r="G159" s="87"/>
      <c r="H159" s="604"/>
      <c r="I159" s="86"/>
      <c r="J159" s="86"/>
      <c r="K159" s="574"/>
      <c r="L159" s="87"/>
      <c r="M159" s="86"/>
      <c r="N159" s="86"/>
      <c r="O159" s="88"/>
      <c r="P159" s="87"/>
      <c r="Q159" s="86"/>
      <c r="R159" s="86"/>
      <c r="S159" s="88"/>
    </row>
    <row r="160" spans="1:19" ht="15" x14ac:dyDescent="0.25">
      <c r="A160" s="60"/>
      <c r="B160" s="129"/>
      <c r="C160" s="97" t="s">
        <v>96</v>
      </c>
      <c r="D160" s="85">
        <v>300</v>
      </c>
      <c r="E160" s="86">
        <v>300</v>
      </c>
      <c r="F160" s="86">
        <v>0</v>
      </c>
      <c r="G160" s="87">
        <v>0</v>
      </c>
      <c r="H160" s="604">
        <v>300</v>
      </c>
      <c r="I160" s="86">
        <v>300</v>
      </c>
      <c r="J160" s="86">
        <v>0</v>
      </c>
      <c r="K160" s="574">
        <v>0</v>
      </c>
      <c r="L160" s="87"/>
      <c r="M160" s="86"/>
      <c r="N160" s="86"/>
      <c r="O160" s="88"/>
      <c r="P160" s="87">
        <f t="shared" si="37"/>
        <v>300</v>
      </c>
      <c r="Q160" s="86">
        <f t="shared" si="37"/>
        <v>300</v>
      </c>
      <c r="R160" s="86">
        <f t="shared" si="37"/>
        <v>0</v>
      </c>
      <c r="S160" s="88">
        <f t="shared" si="37"/>
        <v>0</v>
      </c>
    </row>
    <row r="161" spans="1:19" ht="15" x14ac:dyDescent="0.25">
      <c r="A161" s="60"/>
      <c r="B161" s="158"/>
      <c r="C161" s="97"/>
      <c r="D161" s="85"/>
      <c r="E161" s="86"/>
      <c r="F161" s="86"/>
      <c r="G161" s="87"/>
      <c r="H161" s="604"/>
      <c r="I161" s="86"/>
      <c r="J161" s="86"/>
      <c r="K161" s="574"/>
      <c r="L161" s="87"/>
      <c r="M161" s="86"/>
      <c r="N161" s="86"/>
      <c r="O161" s="88"/>
      <c r="P161" s="87"/>
      <c r="Q161" s="86"/>
      <c r="R161" s="86"/>
      <c r="S161" s="88"/>
    </row>
    <row r="162" spans="1:19" ht="15" x14ac:dyDescent="0.25">
      <c r="A162" s="60"/>
      <c r="B162" s="158"/>
      <c r="C162" s="144" t="s">
        <v>24</v>
      </c>
      <c r="D162" s="145">
        <f>SUM(D160:D161)</f>
        <v>300</v>
      </c>
      <c r="E162" s="146">
        <f>SUM(E160:E161)</f>
        <v>300</v>
      </c>
      <c r="F162" s="146">
        <f>SUM(F160:F160)</f>
        <v>0</v>
      </c>
      <c r="G162" s="148">
        <f>SUM(G160:G160)</f>
        <v>0</v>
      </c>
      <c r="H162" s="606">
        <v>300</v>
      </c>
      <c r="I162" s="146">
        <v>300</v>
      </c>
      <c r="J162" s="146">
        <v>0</v>
      </c>
      <c r="K162" s="576">
        <v>0</v>
      </c>
      <c r="L162" s="148">
        <f>SUM(L160:L161)</f>
        <v>0</v>
      </c>
      <c r="M162" s="146">
        <f>SUM(M160:M161)</f>
        <v>0</v>
      </c>
      <c r="N162" s="146">
        <f>SUM(N160:N160)</f>
        <v>0</v>
      </c>
      <c r="O162" s="579">
        <f>SUM(O160:O160)</f>
        <v>0</v>
      </c>
      <c r="P162" s="148">
        <f t="shared" si="37"/>
        <v>300</v>
      </c>
      <c r="Q162" s="146">
        <f t="shared" si="37"/>
        <v>300</v>
      </c>
      <c r="R162" s="146">
        <f t="shared" si="37"/>
        <v>0</v>
      </c>
      <c r="S162" s="579">
        <f t="shared" si="37"/>
        <v>0</v>
      </c>
    </row>
    <row r="163" spans="1:19" x14ac:dyDescent="0.25">
      <c r="A163" s="581"/>
      <c r="B163" s="150"/>
      <c r="C163" s="160"/>
      <c r="D163" s="90"/>
      <c r="E163" s="42"/>
      <c r="F163" s="42"/>
      <c r="G163" s="91"/>
      <c r="H163" s="607"/>
      <c r="I163" s="42"/>
      <c r="J163" s="42"/>
      <c r="K163" s="608"/>
      <c r="L163" s="91"/>
      <c r="M163" s="42"/>
      <c r="N163" s="42"/>
      <c r="O163" s="582"/>
      <c r="P163" s="64"/>
      <c r="Q163" s="41"/>
      <c r="R163" s="41"/>
      <c r="S163" s="66"/>
    </row>
    <row r="164" spans="1:19" ht="15" x14ac:dyDescent="0.25">
      <c r="A164" s="60"/>
      <c r="B164" s="129"/>
      <c r="C164" s="97" t="s">
        <v>69</v>
      </c>
      <c r="D164" s="85"/>
      <c r="E164" s="86"/>
      <c r="F164" s="86"/>
      <c r="G164" s="87"/>
      <c r="H164" s="604"/>
      <c r="I164" s="86"/>
      <c r="J164" s="86"/>
      <c r="K164" s="574"/>
      <c r="L164" s="87"/>
      <c r="M164" s="86"/>
      <c r="N164" s="86"/>
      <c r="O164" s="88"/>
      <c r="P164" s="87"/>
      <c r="Q164" s="86"/>
      <c r="R164" s="86"/>
      <c r="S164" s="88"/>
    </row>
    <row r="165" spans="1:19" ht="15" x14ac:dyDescent="0.25">
      <c r="A165" s="60"/>
      <c r="B165" s="129"/>
      <c r="C165" s="97" t="s">
        <v>1</v>
      </c>
      <c r="D165" s="85">
        <v>4000</v>
      </c>
      <c r="E165" s="86">
        <v>4000</v>
      </c>
      <c r="F165" s="86">
        <v>0</v>
      </c>
      <c r="G165" s="87">
        <v>0</v>
      </c>
      <c r="H165" s="604">
        <v>4000</v>
      </c>
      <c r="I165" s="86">
        <v>4000</v>
      </c>
      <c r="J165" s="86">
        <v>0</v>
      </c>
      <c r="K165" s="574">
        <v>0</v>
      </c>
      <c r="L165" s="87"/>
      <c r="M165" s="86"/>
      <c r="N165" s="86"/>
      <c r="O165" s="88"/>
      <c r="P165" s="87">
        <f t="shared" si="37"/>
        <v>4000</v>
      </c>
      <c r="Q165" s="86">
        <f t="shared" si="37"/>
        <v>4000</v>
      </c>
      <c r="R165" s="86">
        <f t="shared" si="37"/>
        <v>0</v>
      </c>
      <c r="S165" s="88">
        <f t="shared" si="37"/>
        <v>0</v>
      </c>
    </row>
    <row r="166" spans="1:19" ht="15" x14ac:dyDescent="0.25">
      <c r="A166" s="60"/>
      <c r="B166" s="129"/>
      <c r="C166" s="97" t="s">
        <v>202</v>
      </c>
      <c r="D166" s="85">
        <v>19000</v>
      </c>
      <c r="E166" s="86">
        <v>19000</v>
      </c>
      <c r="F166" s="86">
        <v>0</v>
      </c>
      <c r="G166" s="87">
        <v>0</v>
      </c>
      <c r="H166" s="604">
        <v>19000</v>
      </c>
      <c r="I166" s="86">
        <v>19000</v>
      </c>
      <c r="J166" s="86">
        <v>0</v>
      </c>
      <c r="K166" s="574">
        <v>0</v>
      </c>
      <c r="L166" s="87"/>
      <c r="M166" s="86"/>
      <c r="N166" s="86"/>
      <c r="O166" s="88"/>
      <c r="P166" s="87">
        <f t="shared" si="37"/>
        <v>19000</v>
      </c>
      <c r="Q166" s="86">
        <f t="shared" si="37"/>
        <v>19000</v>
      </c>
      <c r="R166" s="86">
        <f t="shared" si="37"/>
        <v>0</v>
      </c>
      <c r="S166" s="88">
        <f t="shared" si="37"/>
        <v>0</v>
      </c>
    </row>
    <row r="167" spans="1:19" ht="15" x14ac:dyDescent="0.25">
      <c r="A167" s="60"/>
      <c r="B167" s="129"/>
      <c r="C167" s="97"/>
      <c r="D167" s="85"/>
      <c r="E167" s="86"/>
      <c r="F167" s="86"/>
      <c r="G167" s="87"/>
      <c r="H167" s="604"/>
      <c r="I167" s="86"/>
      <c r="J167" s="86"/>
      <c r="K167" s="574"/>
      <c r="L167" s="87"/>
      <c r="M167" s="86"/>
      <c r="N167" s="86"/>
      <c r="O167" s="88"/>
      <c r="P167" s="87"/>
      <c r="Q167" s="86"/>
      <c r="R167" s="86"/>
      <c r="S167" s="88"/>
    </row>
    <row r="168" spans="1:19" ht="15" x14ac:dyDescent="0.25">
      <c r="A168" s="60"/>
      <c r="B168" s="129"/>
      <c r="C168" s="144" t="s">
        <v>24</v>
      </c>
      <c r="D168" s="145">
        <f>SUM(D165:D167)</f>
        <v>23000</v>
      </c>
      <c r="E168" s="146">
        <f t="shared" ref="E168:G168" si="40">SUM(E165:E167)</f>
        <v>23000</v>
      </c>
      <c r="F168" s="146">
        <f t="shared" si="40"/>
        <v>0</v>
      </c>
      <c r="G168" s="148">
        <f t="shared" si="40"/>
        <v>0</v>
      </c>
      <c r="H168" s="606">
        <v>23000</v>
      </c>
      <c r="I168" s="146">
        <v>23000</v>
      </c>
      <c r="J168" s="146">
        <v>0</v>
      </c>
      <c r="K168" s="576">
        <v>0</v>
      </c>
      <c r="L168" s="148">
        <f>SUM(L165:L167)</f>
        <v>0</v>
      </c>
      <c r="M168" s="146">
        <f t="shared" ref="M168:O168" si="41">SUM(M165:M167)</f>
        <v>0</v>
      </c>
      <c r="N168" s="146">
        <f t="shared" si="41"/>
        <v>0</v>
      </c>
      <c r="O168" s="579">
        <f t="shared" si="41"/>
        <v>0</v>
      </c>
      <c r="P168" s="148">
        <f t="shared" si="37"/>
        <v>23000</v>
      </c>
      <c r="Q168" s="146">
        <f t="shared" si="37"/>
        <v>23000</v>
      </c>
      <c r="R168" s="146">
        <f t="shared" si="37"/>
        <v>0</v>
      </c>
      <c r="S168" s="579">
        <f t="shared" si="37"/>
        <v>0</v>
      </c>
    </row>
    <row r="169" spans="1:19" ht="15" x14ac:dyDescent="0.25">
      <c r="A169" s="60"/>
      <c r="B169" s="129"/>
      <c r="C169" s="144"/>
      <c r="D169" s="145"/>
      <c r="E169" s="146"/>
      <c r="F169" s="146"/>
      <c r="G169" s="148"/>
      <c r="H169" s="606"/>
      <c r="I169" s="146"/>
      <c r="J169" s="146"/>
      <c r="K169" s="576"/>
      <c r="L169" s="148"/>
      <c r="M169" s="146"/>
      <c r="N169" s="146"/>
      <c r="O169" s="579"/>
      <c r="P169" s="87"/>
      <c r="Q169" s="86"/>
      <c r="R169" s="86"/>
      <c r="S169" s="88"/>
    </row>
    <row r="170" spans="1:19" ht="15" x14ac:dyDescent="0.25">
      <c r="A170" s="60"/>
      <c r="B170" s="129"/>
      <c r="C170" s="139" t="s">
        <v>37</v>
      </c>
      <c r="D170" s="140">
        <f t="shared" ref="D170:G170" si="42">D168+D162</f>
        <v>23300</v>
      </c>
      <c r="E170" s="141">
        <f t="shared" si="42"/>
        <v>23300</v>
      </c>
      <c r="F170" s="141">
        <f t="shared" si="42"/>
        <v>0</v>
      </c>
      <c r="G170" s="143">
        <f t="shared" si="42"/>
        <v>0</v>
      </c>
      <c r="H170" s="605">
        <v>23300</v>
      </c>
      <c r="I170" s="141">
        <v>23300</v>
      </c>
      <c r="J170" s="141">
        <v>0</v>
      </c>
      <c r="K170" s="575">
        <v>0</v>
      </c>
      <c r="L170" s="143">
        <f t="shared" ref="L170:O170" si="43">L168+L162</f>
        <v>0</v>
      </c>
      <c r="M170" s="141">
        <f t="shared" si="43"/>
        <v>0</v>
      </c>
      <c r="N170" s="141">
        <f t="shared" si="43"/>
        <v>0</v>
      </c>
      <c r="O170" s="580">
        <f t="shared" si="43"/>
        <v>0</v>
      </c>
      <c r="P170" s="143">
        <f t="shared" si="37"/>
        <v>23300</v>
      </c>
      <c r="Q170" s="141">
        <f t="shared" si="37"/>
        <v>23300</v>
      </c>
      <c r="R170" s="141">
        <f t="shared" si="37"/>
        <v>0</v>
      </c>
      <c r="S170" s="580">
        <f t="shared" si="37"/>
        <v>0</v>
      </c>
    </row>
    <row r="171" spans="1:19" ht="15" x14ac:dyDescent="0.25">
      <c r="A171" s="60"/>
      <c r="B171" s="129"/>
      <c r="C171" s="97"/>
      <c r="D171" s="85"/>
      <c r="E171" s="86"/>
      <c r="F171" s="86"/>
      <c r="G171" s="87"/>
      <c r="H171" s="604"/>
      <c r="I171" s="86"/>
      <c r="J171" s="86"/>
      <c r="K171" s="574"/>
      <c r="L171" s="87"/>
      <c r="M171" s="86"/>
      <c r="N171" s="86"/>
      <c r="O171" s="88"/>
      <c r="P171" s="87"/>
      <c r="Q171" s="86"/>
      <c r="R171" s="86"/>
      <c r="S171" s="88"/>
    </row>
    <row r="172" spans="1:19" ht="15" x14ac:dyDescent="0.25">
      <c r="A172" s="60"/>
      <c r="B172" s="129"/>
      <c r="C172" s="59" t="s">
        <v>10</v>
      </c>
      <c r="D172" s="133">
        <f>D45+D60+D91+D101+D140+D156+D170</f>
        <v>3819970</v>
      </c>
      <c r="E172" s="134">
        <f>E45+E60+E91+E101+E140+E156+E170</f>
        <v>3785699</v>
      </c>
      <c r="F172" s="134">
        <f>F45+F60+F91+F101+F140+F156+F170</f>
        <v>33971</v>
      </c>
      <c r="G172" s="136">
        <f>G45+G60+G91+G101+G140+G156+G170</f>
        <v>300</v>
      </c>
      <c r="H172" s="603">
        <v>4358237</v>
      </c>
      <c r="I172" s="134">
        <v>4323966</v>
      </c>
      <c r="J172" s="134">
        <v>33971</v>
      </c>
      <c r="K172" s="573">
        <v>300</v>
      </c>
      <c r="L172" s="136">
        <f>L45+L60+L91+L101+L140+L156+L170</f>
        <v>210913</v>
      </c>
      <c r="M172" s="134">
        <f>M45+M60+M91+M101+M140+M156+M170</f>
        <v>211308</v>
      </c>
      <c r="N172" s="134">
        <f>N45+N60+N91+N101+N140+N156+N170</f>
        <v>-495</v>
      </c>
      <c r="O172" s="583">
        <f>O45+O60+O91+O101+O140+O156+O170</f>
        <v>100</v>
      </c>
      <c r="P172" s="136">
        <f t="shared" si="37"/>
        <v>4569150</v>
      </c>
      <c r="Q172" s="134">
        <f t="shared" si="37"/>
        <v>4535274</v>
      </c>
      <c r="R172" s="134">
        <f t="shared" si="37"/>
        <v>33476</v>
      </c>
      <c r="S172" s="583">
        <f t="shared" si="37"/>
        <v>400</v>
      </c>
    </row>
    <row r="173" spans="1:19" ht="15" x14ac:dyDescent="0.25">
      <c r="A173" s="60"/>
      <c r="B173" s="129"/>
      <c r="C173" s="128"/>
      <c r="D173" s="55"/>
      <c r="E173" s="56"/>
      <c r="F173" s="56"/>
      <c r="G173" s="57"/>
      <c r="H173" s="601"/>
      <c r="I173" s="56"/>
      <c r="J173" s="56"/>
      <c r="K173" s="571"/>
      <c r="L173" s="57"/>
      <c r="M173" s="56"/>
      <c r="N173" s="56"/>
      <c r="O173" s="584"/>
      <c r="P173" s="64"/>
      <c r="Q173" s="41"/>
      <c r="R173" s="41"/>
      <c r="S173" s="66"/>
    </row>
    <row r="174" spans="1:19" ht="15" x14ac:dyDescent="0.25">
      <c r="A174" s="60"/>
      <c r="B174" s="129"/>
      <c r="C174" s="128"/>
      <c r="D174" s="55"/>
      <c r="E174" s="56"/>
      <c r="F174" s="56"/>
      <c r="G174" s="57"/>
      <c r="H174" s="601"/>
      <c r="I174" s="56"/>
      <c r="J174" s="56"/>
      <c r="K174" s="571"/>
      <c r="L174" s="57"/>
      <c r="M174" s="56"/>
      <c r="N174" s="56"/>
      <c r="O174" s="584"/>
      <c r="P174" s="64"/>
      <c r="Q174" s="41"/>
      <c r="R174" s="41"/>
      <c r="S174" s="66"/>
    </row>
    <row r="175" spans="1:19" ht="14.25" x14ac:dyDescent="0.2">
      <c r="A175" s="54" t="s">
        <v>15</v>
      </c>
      <c r="B175" s="161"/>
      <c r="C175" s="162"/>
      <c r="D175" s="163">
        <f>D27+D172</f>
        <v>3851654</v>
      </c>
      <c r="E175" s="164">
        <f>E27+E172</f>
        <v>3817383</v>
      </c>
      <c r="F175" s="164">
        <f>F27+F172</f>
        <v>33971</v>
      </c>
      <c r="G175" s="165">
        <f>G27+G172</f>
        <v>300</v>
      </c>
      <c r="H175" s="609">
        <v>4389921</v>
      </c>
      <c r="I175" s="164">
        <v>4355650</v>
      </c>
      <c r="J175" s="164">
        <v>33971</v>
      </c>
      <c r="K175" s="610">
        <v>300</v>
      </c>
      <c r="L175" s="165">
        <f>L27+L172</f>
        <v>210913</v>
      </c>
      <c r="M175" s="164">
        <f>M27+M172</f>
        <v>211308</v>
      </c>
      <c r="N175" s="164">
        <f>N27+N172</f>
        <v>-495</v>
      </c>
      <c r="O175" s="585">
        <f>O27+O172</f>
        <v>100</v>
      </c>
      <c r="P175" s="165">
        <f t="shared" si="37"/>
        <v>4600834</v>
      </c>
      <c r="Q175" s="164">
        <f t="shared" si="37"/>
        <v>4566958</v>
      </c>
      <c r="R175" s="164">
        <f t="shared" si="37"/>
        <v>33476</v>
      </c>
      <c r="S175" s="585">
        <f t="shared" si="37"/>
        <v>400</v>
      </c>
    </row>
    <row r="176" spans="1:19" ht="15" x14ac:dyDescent="0.25">
      <c r="A176" s="60"/>
      <c r="B176" s="166"/>
      <c r="C176" s="128"/>
      <c r="D176" s="55"/>
      <c r="E176" s="56"/>
      <c r="F176" s="56"/>
      <c r="G176" s="57"/>
      <c r="H176" s="601"/>
      <c r="I176" s="56"/>
      <c r="J176" s="56"/>
      <c r="K176" s="571"/>
      <c r="L176" s="57"/>
      <c r="M176" s="56"/>
      <c r="N176" s="56"/>
      <c r="O176" s="584"/>
      <c r="P176" s="64"/>
      <c r="Q176" s="41"/>
      <c r="R176" s="41"/>
      <c r="S176" s="66"/>
    </row>
    <row r="177" spans="1:19" ht="15" x14ac:dyDescent="0.25">
      <c r="A177" s="60"/>
      <c r="B177" s="167" t="s">
        <v>27</v>
      </c>
      <c r="C177" s="168" t="s">
        <v>137</v>
      </c>
      <c r="D177" s="169"/>
      <c r="E177" s="170"/>
      <c r="F177" s="170"/>
      <c r="G177" s="171"/>
      <c r="H177" s="611"/>
      <c r="I177" s="170"/>
      <c r="J177" s="170"/>
      <c r="K177" s="612"/>
      <c r="L177" s="171"/>
      <c r="M177" s="170"/>
      <c r="N177" s="170"/>
      <c r="O177" s="586"/>
      <c r="P177" s="171"/>
      <c r="Q177" s="170"/>
      <c r="R177" s="170"/>
      <c r="S177" s="586"/>
    </row>
    <row r="178" spans="1:19" ht="15" x14ac:dyDescent="0.25">
      <c r="A178" s="60"/>
      <c r="B178" s="172"/>
      <c r="C178" s="100" t="s">
        <v>131</v>
      </c>
      <c r="D178" s="63"/>
      <c r="E178" s="41"/>
      <c r="F178" s="41"/>
      <c r="G178" s="64"/>
      <c r="H178" s="65"/>
      <c r="I178" s="41"/>
      <c r="J178" s="41"/>
      <c r="K178" s="569"/>
      <c r="L178" s="64"/>
      <c r="M178" s="41"/>
      <c r="N178" s="41"/>
      <c r="O178" s="66"/>
      <c r="P178" s="64"/>
      <c r="Q178" s="41"/>
      <c r="R178" s="41"/>
      <c r="S178" s="66"/>
    </row>
    <row r="179" spans="1:19" ht="15" x14ac:dyDescent="0.25">
      <c r="A179" s="68"/>
      <c r="B179" s="173"/>
      <c r="C179" s="100" t="s">
        <v>293</v>
      </c>
      <c r="D179" s="63">
        <v>905</v>
      </c>
      <c r="E179" s="41">
        <v>905</v>
      </c>
      <c r="F179" s="41">
        <v>0</v>
      </c>
      <c r="G179" s="64">
        <v>0</v>
      </c>
      <c r="H179" s="65">
        <v>905</v>
      </c>
      <c r="I179" s="41">
        <v>905</v>
      </c>
      <c r="J179" s="41">
        <v>0</v>
      </c>
      <c r="K179" s="569">
        <v>0</v>
      </c>
      <c r="L179" s="64"/>
      <c r="M179" s="41"/>
      <c r="N179" s="41"/>
      <c r="O179" s="66"/>
      <c r="P179" s="64">
        <f t="shared" si="37"/>
        <v>905</v>
      </c>
      <c r="Q179" s="41">
        <f t="shared" si="37"/>
        <v>905</v>
      </c>
      <c r="R179" s="41">
        <f t="shared" si="37"/>
        <v>0</v>
      </c>
      <c r="S179" s="66">
        <f t="shared" si="37"/>
        <v>0</v>
      </c>
    </row>
    <row r="180" spans="1:19" ht="15" x14ac:dyDescent="0.25">
      <c r="A180" s="174"/>
      <c r="B180" s="173"/>
      <c r="C180" s="100" t="s">
        <v>291</v>
      </c>
      <c r="D180" s="63">
        <v>289</v>
      </c>
      <c r="E180" s="41">
        <v>289</v>
      </c>
      <c r="F180" s="41">
        <v>0</v>
      </c>
      <c r="G180" s="64">
        <v>0</v>
      </c>
      <c r="H180" s="65">
        <v>289</v>
      </c>
      <c r="I180" s="41">
        <v>289</v>
      </c>
      <c r="J180" s="41">
        <v>0</v>
      </c>
      <c r="K180" s="569">
        <v>0</v>
      </c>
      <c r="L180" s="64"/>
      <c r="M180" s="41"/>
      <c r="N180" s="41"/>
      <c r="O180" s="66"/>
      <c r="P180" s="64">
        <f t="shared" si="37"/>
        <v>289</v>
      </c>
      <c r="Q180" s="41">
        <f t="shared" si="37"/>
        <v>289</v>
      </c>
      <c r="R180" s="41">
        <f t="shared" si="37"/>
        <v>0</v>
      </c>
      <c r="S180" s="66">
        <f t="shared" si="37"/>
        <v>0</v>
      </c>
    </row>
    <row r="181" spans="1:19" ht="15" x14ac:dyDescent="0.25">
      <c r="A181" s="68"/>
      <c r="B181" s="173"/>
      <c r="C181" s="100" t="s">
        <v>292</v>
      </c>
      <c r="D181" s="63">
        <v>0</v>
      </c>
      <c r="E181" s="41">
        <v>0</v>
      </c>
      <c r="F181" s="41">
        <v>0</v>
      </c>
      <c r="G181" s="64">
        <v>0</v>
      </c>
      <c r="H181" s="65">
        <v>12</v>
      </c>
      <c r="I181" s="41">
        <v>12</v>
      </c>
      <c r="J181" s="41">
        <v>0</v>
      </c>
      <c r="K181" s="569">
        <v>0</v>
      </c>
      <c r="L181" s="64"/>
      <c r="M181" s="41"/>
      <c r="N181" s="41"/>
      <c r="O181" s="66"/>
      <c r="P181" s="64">
        <f t="shared" si="37"/>
        <v>12</v>
      </c>
      <c r="Q181" s="41">
        <f t="shared" si="37"/>
        <v>12</v>
      </c>
      <c r="R181" s="41">
        <f t="shared" si="37"/>
        <v>0</v>
      </c>
      <c r="S181" s="66">
        <f t="shared" si="37"/>
        <v>0</v>
      </c>
    </row>
    <row r="182" spans="1:19" ht="15" x14ac:dyDescent="0.25">
      <c r="A182" s="60"/>
      <c r="B182" s="172"/>
      <c r="C182" s="100" t="s">
        <v>884</v>
      </c>
      <c r="D182" s="63">
        <v>0</v>
      </c>
      <c r="E182" s="41">
        <v>0</v>
      </c>
      <c r="F182" s="41">
        <v>0</v>
      </c>
      <c r="G182" s="64">
        <v>0</v>
      </c>
      <c r="H182" s="65">
        <v>0</v>
      </c>
      <c r="I182" s="41">
        <v>0</v>
      </c>
      <c r="J182" s="41">
        <v>0</v>
      </c>
      <c r="K182" s="569">
        <v>0</v>
      </c>
      <c r="L182" s="64"/>
      <c r="M182" s="41"/>
      <c r="N182" s="41"/>
      <c r="O182" s="66"/>
      <c r="P182" s="64">
        <f t="shared" si="37"/>
        <v>0</v>
      </c>
      <c r="Q182" s="41">
        <f t="shared" si="37"/>
        <v>0</v>
      </c>
      <c r="R182" s="41">
        <f t="shared" si="37"/>
        <v>0</v>
      </c>
      <c r="S182" s="66">
        <f t="shared" si="37"/>
        <v>0</v>
      </c>
    </row>
    <row r="183" spans="1:19" ht="15" x14ac:dyDescent="0.25">
      <c r="A183" s="68"/>
      <c r="B183" s="173"/>
      <c r="C183" s="131" t="s">
        <v>22</v>
      </c>
      <c r="D183" s="70">
        <f t="shared" ref="D183:O183" si="44">SUM(D179:D182)</f>
        <v>1194</v>
      </c>
      <c r="E183" s="71">
        <f t="shared" si="44"/>
        <v>1194</v>
      </c>
      <c r="F183" s="71">
        <f t="shared" si="44"/>
        <v>0</v>
      </c>
      <c r="G183" s="72">
        <f t="shared" si="44"/>
        <v>0</v>
      </c>
      <c r="H183" s="602">
        <v>1206</v>
      </c>
      <c r="I183" s="71">
        <v>1206</v>
      </c>
      <c r="J183" s="71">
        <v>0</v>
      </c>
      <c r="K183" s="572">
        <v>0</v>
      </c>
      <c r="L183" s="72">
        <f t="shared" si="44"/>
        <v>0</v>
      </c>
      <c r="M183" s="71">
        <f t="shared" si="44"/>
        <v>0</v>
      </c>
      <c r="N183" s="71">
        <f t="shared" si="44"/>
        <v>0</v>
      </c>
      <c r="O183" s="578">
        <f t="shared" si="44"/>
        <v>0</v>
      </c>
      <c r="P183" s="72">
        <f t="shared" si="37"/>
        <v>1206</v>
      </c>
      <c r="Q183" s="71">
        <f t="shared" si="37"/>
        <v>1206</v>
      </c>
      <c r="R183" s="71">
        <f t="shared" si="37"/>
        <v>0</v>
      </c>
      <c r="S183" s="578">
        <f t="shared" si="37"/>
        <v>0</v>
      </c>
    </row>
    <row r="184" spans="1:19" ht="15" x14ac:dyDescent="0.25">
      <c r="A184" s="60"/>
      <c r="B184" s="172"/>
      <c r="C184" s="128"/>
      <c r="D184" s="55"/>
      <c r="E184" s="56"/>
      <c r="F184" s="56"/>
      <c r="G184" s="57"/>
      <c r="H184" s="601"/>
      <c r="I184" s="56"/>
      <c r="J184" s="56"/>
      <c r="K184" s="571"/>
      <c r="L184" s="57"/>
      <c r="M184" s="56"/>
      <c r="N184" s="56"/>
      <c r="O184" s="584"/>
      <c r="P184" s="64"/>
      <c r="Q184" s="41"/>
      <c r="R184" s="41"/>
      <c r="S184" s="66"/>
    </row>
    <row r="185" spans="1:19" ht="15" x14ac:dyDescent="0.25">
      <c r="A185" s="60"/>
      <c r="B185" s="172"/>
      <c r="C185" s="100" t="s">
        <v>132</v>
      </c>
      <c r="D185" s="63"/>
      <c r="E185" s="41"/>
      <c r="F185" s="41"/>
      <c r="G185" s="64"/>
      <c r="H185" s="65"/>
      <c r="I185" s="41"/>
      <c r="J185" s="41"/>
      <c r="K185" s="569"/>
      <c r="L185" s="64"/>
      <c r="M185" s="41"/>
      <c r="N185" s="41"/>
      <c r="O185" s="66"/>
      <c r="P185" s="64">
        <f t="shared" si="37"/>
        <v>0</v>
      </c>
      <c r="Q185" s="41">
        <f t="shared" si="37"/>
        <v>0</v>
      </c>
      <c r="R185" s="41">
        <f t="shared" si="37"/>
        <v>0</v>
      </c>
      <c r="S185" s="66">
        <f t="shared" si="37"/>
        <v>0</v>
      </c>
    </row>
    <row r="186" spans="1:19" ht="15" x14ac:dyDescent="0.25">
      <c r="A186" s="60"/>
      <c r="B186" s="166"/>
      <c r="C186" s="100" t="s">
        <v>294</v>
      </c>
      <c r="D186" s="63"/>
      <c r="E186" s="41"/>
      <c r="F186" s="41"/>
      <c r="G186" s="64"/>
      <c r="H186" s="65">
        <v>0</v>
      </c>
      <c r="I186" s="41">
        <v>0</v>
      </c>
      <c r="J186" s="41">
        <v>0</v>
      </c>
      <c r="K186" s="569">
        <v>0</v>
      </c>
      <c r="L186" s="64"/>
      <c r="M186" s="41"/>
      <c r="N186" s="41"/>
      <c r="O186" s="66"/>
      <c r="P186" s="64">
        <f t="shared" si="37"/>
        <v>0</v>
      </c>
      <c r="Q186" s="41">
        <f t="shared" si="37"/>
        <v>0</v>
      </c>
      <c r="R186" s="41">
        <f t="shared" si="37"/>
        <v>0</v>
      </c>
      <c r="S186" s="66">
        <f t="shared" si="37"/>
        <v>0</v>
      </c>
    </row>
    <row r="187" spans="1:19" ht="15" x14ac:dyDescent="0.25">
      <c r="A187" s="60"/>
      <c r="B187" s="172"/>
      <c r="C187" s="97" t="s">
        <v>295</v>
      </c>
      <c r="D187" s="63"/>
      <c r="E187" s="41"/>
      <c r="F187" s="41"/>
      <c r="G187" s="64"/>
      <c r="H187" s="65">
        <v>0</v>
      </c>
      <c r="I187" s="41">
        <v>0</v>
      </c>
      <c r="J187" s="41">
        <v>0</v>
      </c>
      <c r="K187" s="569">
        <v>0</v>
      </c>
      <c r="L187" s="64"/>
      <c r="M187" s="41"/>
      <c r="N187" s="41"/>
      <c r="O187" s="66"/>
      <c r="P187" s="64">
        <f t="shared" si="37"/>
        <v>0</v>
      </c>
      <c r="Q187" s="41">
        <f t="shared" si="37"/>
        <v>0</v>
      </c>
      <c r="R187" s="41">
        <f t="shared" si="37"/>
        <v>0</v>
      </c>
      <c r="S187" s="66">
        <f t="shared" si="37"/>
        <v>0</v>
      </c>
    </row>
    <row r="188" spans="1:19" ht="15" x14ac:dyDescent="0.25">
      <c r="A188" s="60"/>
      <c r="B188" s="172"/>
      <c r="C188" s="100" t="s">
        <v>296</v>
      </c>
      <c r="D188" s="63"/>
      <c r="E188" s="41"/>
      <c r="F188" s="41"/>
      <c r="G188" s="64"/>
      <c r="H188" s="65">
        <v>0</v>
      </c>
      <c r="I188" s="41">
        <v>0</v>
      </c>
      <c r="J188" s="41">
        <v>0</v>
      </c>
      <c r="K188" s="569">
        <v>0</v>
      </c>
      <c r="L188" s="64"/>
      <c r="M188" s="41"/>
      <c r="N188" s="41"/>
      <c r="O188" s="66"/>
      <c r="P188" s="64">
        <f t="shared" si="37"/>
        <v>0</v>
      </c>
      <c r="Q188" s="41">
        <f t="shared" si="37"/>
        <v>0</v>
      </c>
      <c r="R188" s="41">
        <f t="shared" si="37"/>
        <v>0</v>
      </c>
      <c r="S188" s="66">
        <f t="shared" si="37"/>
        <v>0</v>
      </c>
    </row>
    <row r="189" spans="1:19" ht="15" x14ac:dyDescent="0.25">
      <c r="A189" s="60"/>
      <c r="B189" s="172"/>
      <c r="C189" s="100" t="s">
        <v>878</v>
      </c>
      <c r="D189" s="63">
        <v>1695790</v>
      </c>
      <c r="E189" s="41">
        <v>1695790</v>
      </c>
      <c r="F189" s="41">
        <v>0</v>
      </c>
      <c r="G189" s="64">
        <v>0</v>
      </c>
      <c r="H189" s="65">
        <v>1695811</v>
      </c>
      <c r="I189" s="41">
        <v>1695811</v>
      </c>
      <c r="J189" s="41">
        <v>0</v>
      </c>
      <c r="K189" s="569">
        <v>0</v>
      </c>
      <c r="L189" s="64"/>
      <c r="M189" s="41"/>
      <c r="N189" s="41"/>
      <c r="O189" s="66"/>
      <c r="P189" s="64">
        <f t="shared" si="37"/>
        <v>1695811</v>
      </c>
      <c r="Q189" s="41">
        <f t="shared" si="37"/>
        <v>1695811</v>
      </c>
      <c r="R189" s="41">
        <f t="shared" si="37"/>
        <v>0</v>
      </c>
      <c r="S189" s="66">
        <f t="shared" si="37"/>
        <v>0</v>
      </c>
    </row>
    <row r="190" spans="1:19" ht="15" x14ac:dyDescent="0.25">
      <c r="A190" s="68"/>
      <c r="B190" s="173"/>
      <c r="C190" s="131" t="s">
        <v>22</v>
      </c>
      <c r="D190" s="70">
        <f t="shared" ref="D190:O190" si="45">SUM(D186:D189)</f>
        <v>1695790</v>
      </c>
      <c r="E190" s="71">
        <f t="shared" si="45"/>
        <v>1695790</v>
      </c>
      <c r="F190" s="71">
        <f t="shared" si="45"/>
        <v>0</v>
      </c>
      <c r="G190" s="72">
        <f t="shared" si="45"/>
        <v>0</v>
      </c>
      <c r="H190" s="602">
        <v>1695811</v>
      </c>
      <c r="I190" s="71">
        <v>1695811</v>
      </c>
      <c r="J190" s="71">
        <v>0</v>
      </c>
      <c r="K190" s="572">
        <v>0</v>
      </c>
      <c r="L190" s="72">
        <f t="shared" si="45"/>
        <v>0</v>
      </c>
      <c r="M190" s="71">
        <f t="shared" si="45"/>
        <v>0</v>
      </c>
      <c r="N190" s="71">
        <f t="shared" si="45"/>
        <v>0</v>
      </c>
      <c r="O190" s="578">
        <f t="shared" si="45"/>
        <v>0</v>
      </c>
      <c r="P190" s="72">
        <f t="shared" si="37"/>
        <v>1695811</v>
      </c>
      <c r="Q190" s="71">
        <f t="shared" si="37"/>
        <v>1695811</v>
      </c>
      <c r="R190" s="71">
        <f t="shared" si="37"/>
        <v>0</v>
      </c>
      <c r="S190" s="578">
        <f t="shared" si="37"/>
        <v>0</v>
      </c>
    </row>
    <row r="191" spans="1:19" ht="15" x14ac:dyDescent="0.25">
      <c r="A191" s="60"/>
      <c r="B191" s="172"/>
      <c r="C191" s="128"/>
      <c r="D191" s="55"/>
      <c r="E191" s="56"/>
      <c r="F191" s="56"/>
      <c r="G191" s="57"/>
      <c r="H191" s="601"/>
      <c r="I191" s="56"/>
      <c r="J191" s="56"/>
      <c r="K191" s="571"/>
      <c r="L191" s="57"/>
      <c r="M191" s="56"/>
      <c r="N191" s="56"/>
      <c r="O191" s="584"/>
      <c r="P191" s="64"/>
      <c r="Q191" s="41"/>
      <c r="R191" s="41"/>
      <c r="S191" s="66"/>
    </row>
    <row r="192" spans="1:19" ht="15" x14ac:dyDescent="0.25">
      <c r="A192" s="60"/>
      <c r="B192" s="166"/>
      <c r="C192" s="100" t="s">
        <v>138</v>
      </c>
      <c r="D192" s="63"/>
      <c r="E192" s="41"/>
      <c r="F192" s="41"/>
      <c r="G192" s="64"/>
      <c r="H192" s="65"/>
      <c r="I192" s="41"/>
      <c r="J192" s="41"/>
      <c r="K192" s="569"/>
      <c r="L192" s="64"/>
      <c r="M192" s="41"/>
      <c r="N192" s="41"/>
      <c r="O192" s="66"/>
      <c r="P192" s="64"/>
      <c r="Q192" s="41"/>
      <c r="R192" s="41"/>
      <c r="S192" s="66"/>
    </row>
    <row r="193" spans="1:19" ht="15" x14ac:dyDescent="0.25">
      <c r="A193" s="60"/>
      <c r="B193" s="172"/>
      <c r="C193" s="100" t="s">
        <v>139</v>
      </c>
      <c r="D193" s="63">
        <v>0</v>
      </c>
      <c r="E193" s="41"/>
      <c r="F193" s="41"/>
      <c r="G193" s="64"/>
      <c r="H193" s="65">
        <v>0</v>
      </c>
      <c r="I193" s="41">
        <v>0</v>
      </c>
      <c r="J193" s="41">
        <v>0</v>
      </c>
      <c r="K193" s="569">
        <v>0</v>
      </c>
      <c r="L193" s="64"/>
      <c r="M193" s="41"/>
      <c r="N193" s="41"/>
      <c r="O193" s="66"/>
      <c r="P193" s="64">
        <f t="shared" si="37"/>
        <v>0</v>
      </c>
      <c r="Q193" s="41">
        <f t="shared" si="37"/>
        <v>0</v>
      </c>
      <c r="R193" s="41">
        <f t="shared" si="37"/>
        <v>0</v>
      </c>
      <c r="S193" s="66">
        <f t="shared" si="37"/>
        <v>0</v>
      </c>
    </row>
    <row r="194" spans="1:19" ht="15" x14ac:dyDescent="0.25">
      <c r="A194" s="60"/>
      <c r="B194" s="172"/>
      <c r="C194" s="100" t="s">
        <v>140</v>
      </c>
      <c r="D194" s="63">
        <v>0</v>
      </c>
      <c r="E194" s="41"/>
      <c r="F194" s="41"/>
      <c r="G194" s="64"/>
      <c r="H194" s="65">
        <v>0</v>
      </c>
      <c r="I194" s="41">
        <v>0</v>
      </c>
      <c r="J194" s="41">
        <v>0</v>
      </c>
      <c r="K194" s="569">
        <v>0</v>
      </c>
      <c r="L194" s="64"/>
      <c r="M194" s="41"/>
      <c r="N194" s="41"/>
      <c r="O194" s="66"/>
      <c r="P194" s="64">
        <f t="shared" si="37"/>
        <v>0</v>
      </c>
      <c r="Q194" s="41">
        <f t="shared" si="37"/>
        <v>0</v>
      </c>
      <c r="R194" s="41">
        <f t="shared" si="37"/>
        <v>0</v>
      </c>
      <c r="S194" s="66">
        <f t="shared" si="37"/>
        <v>0</v>
      </c>
    </row>
    <row r="195" spans="1:19" ht="15" x14ac:dyDescent="0.25">
      <c r="A195" s="125"/>
      <c r="B195" s="126"/>
      <c r="C195" s="97" t="s">
        <v>141</v>
      </c>
      <c r="D195" s="85">
        <v>0</v>
      </c>
      <c r="E195" s="86"/>
      <c r="F195" s="86"/>
      <c r="G195" s="87"/>
      <c r="H195" s="604">
        <v>96016</v>
      </c>
      <c r="I195" s="86">
        <v>96016</v>
      </c>
      <c r="J195" s="86">
        <v>0</v>
      </c>
      <c r="K195" s="574">
        <v>0</v>
      </c>
      <c r="L195" s="87">
        <v>16554</v>
      </c>
      <c r="M195" s="86">
        <v>16554</v>
      </c>
      <c r="N195" s="86">
        <v>0</v>
      </c>
      <c r="O195" s="88">
        <v>0</v>
      </c>
      <c r="P195" s="87">
        <f t="shared" si="37"/>
        <v>112570</v>
      </c>
      <c r="Q195" s="86">
        <f t="shared" si="37"/>
        <v>112570</v>
      </c>
      <c r="R195" s="86">
        <f t="shared" si="37"/>
        <v>0</v>
      </c>
      <c r="S195" s="88">
        <f t="shared" si="37"/>
        <v>0</v>
      </c>
    </row>
    <row r="196" spans="1:19" ht="15" x14ac:dyDescent="0.25">
      <c r="A196" s="68"/>
      <c r="B196" s="173"/>
      <c r="C196" s="131" t="s">
        <v>22</v>
      </c>
      <c r="D196" s="70">
        <f t="shared" ref="D196:G196" si="46">SUM(D193:D195)</f>
        <v>0</v>
      </c>
      <c r="E196" s="71">
        <f t="shared" si="46"/>
        <v>0</v>
      </c>
      <c r="F196" s="71">
        <f t="shared" si="46"/>
        <v>0</v>
      </c>
      <c r="G196" s="72">
        <f t="shared" si="46"/>
        <v>0</v>
      </c>
      <c r="H196" s="602">
        <v>96016</v>
      </c>
      <c r="I196" s="71">
        <v>96016</v>
      </c>
      <c r="J196" s="71">
        <v>0</v>
      </c>
      <c r="K196" s="572">
        <v>0</v>
      </c>
      <c r="L196" s="72">
        <f t="shared" ref="L196:O196" si="47">SUM(L193:L195)</f>
        <v>16554</v>
      </c>
      <c r="M196" s="71">
        <f t="shared" si="47"/>
        <v>16554</v>
      </c>
      <c r="N196" s="71">
        <f t="shared" si="47"/>
        <v>0</v>
      </c>
      <c r="O196" s="578">
        <f t="shared" si="47"/>
        <v>0</v>
      </c>
      <c r="P196" s="72">
        <f t="shared" si="37"/>
        <v>112570</v>
      </c>
      <c r="Q196" s="71">
        <f t="shared" si="37"/>
        <v>112570</v>
      </c>
      <c r="R196" s="71">
        <f t="shared" si="37"/>
        <v>0</v>
      </c>
      <c r="S196" s="578">
        <f t="shared" si="37"/>
        <v>0</v>
      </c>
    </row>
    <row r="197" spans="1:19" ht="15" x14ac:dyDescent="0.25">
      <c r="A197" s="68"/>
      <c r="B197" s="173"/>
      <c r="C197" s="131"/>
      <c r="D197" s="70"/>
      <c r="E197" s="71"/>
      <c r="F197" s="71"/>
      <c r="G197" s="72"/>
      <c r="H197" s="602"/>
      <c r="I197" s="71"/>
      <c r="J197" s="71"/>
      <c r="K197" s="572"/>
      <c r="L197" s="72"/>
      <c r="M197" s="71"/>
      <c r="N197" s="71"/>
      <c r="O197" s="578"/>
      <c r="P197" s="72"/>
      <c r="Q197" s="71"/>
      <c r="R197" s="71"/>
      <c r="S197" s="578"/>
    </row>
    <row r="198" spans="1:19" ht="15" x14ac:dyDescent="0.25">
      <c r="A198" s="60"/>
      <c r="B198" s="175"/>
      <c r="C198" s="100" t="s">
        <v>180</v>
      </c>
      <c r="D198" s="63">
        <v>0</v>
      </c>
      <c r="E198" s="41">
        <v>0</v>
      </c>
      <c r="F198" s="41">
        <v>0</v>
      </c>
      <c r="G198" s="64">
        <v>0</v>
      </c>
      <c r="H198" s="65">
        <v>905</v>
      </c>
      <c r="I198" s="41">
        <v>905</v>
      </c>
      <c r="J198" s="41">
        <v>0</v>
      </c>
      <c r="K198" s="569">
        <v>0</v>
      </c>
      <c r="L198" s="64"/>
      <c r="M198" s="41"/>
      <c r="N198" s="41"/>
      <c r="O198" s="66"/>
      <c r="P198" s="64">
        <f t="shared" si="37"/>
        <v>905</v>
      </c>
      <c r="Q198" s="41">
        <f t="shared" si="37"/>
        <v>905</v>
      </c>
      <c r="R198" s="41">
        <f t="shared" si="37"/>
        <v>0</v>
      </c>
      <c r="S198" s="66">
        <f t="shared" si="37"/>
        <v>0</v>
      </c>
    </row>
    <row r="199" spans="1:19" ht="15" x14ac:dyDescent="0.25">
      <c r="A199" s="60"/>
      <c r="B199" s="172"/>
      <c r="C199" s="100"/>
      <c r="D199" s="63"/>
      <c r="E199" s="41"/>
      <c r="F199" s="41"/>
      <c r="G199" s="64"/>
      <c r="H199" s="65"/>
      <c r="I199" s="41"/>
      <c r="J199" s="41"/>
      <c r="K199" s="569"/>
      <c r="L199" s="64"/>
      <c r="M199" s="41"/>
      <c r="N199" s="41"/>
      <c r="O199" s="66"/>
      <c r="P199" s="64"/>
      <c r="Q199" s="41"/>
      <c r="R199" s="41"/>
      <c r="S199" s="66"/>
    </row>
    <row r="200" spans="1:19" ht="15.75" thickBot="1" x14ac:dyDescent="0.3">
      <c r="A200" s="102"/>
      <c r="B200" s="113"/>
      <c r="C200" s="176" t="s">
        <v>15</v>
      </c>
      <c r="D200" s="105">
        <f t="shared" ref="D200:O200" si="48">D175+D190+D183+D196+D198</f>
        <v>5548638</v>
      </c>
      <c r="E200" s="106">
        <f t="shared" si="48"/>
        <v>5514367</v>
      </c>
      <c r="F200" s="106">
        <f t="shared" si="48"/>
        <v>33971</v>
      </c>
      <c r="G200" s="177">
        <f t="shared" si="48"/>
        <v>300</v>
      </c>
      <c r="H200" s="613">
        <v>6183859</v>
      </c>
      <c r="I200" s="106">
        <v>6149588</v>
      </c>
      <c r="J200" s="106">
        <v>33971</v>
      </c>
      <c r="K200" s="587">
        <v>300</v>
      </c>
      <c r="L200" s="107">
        <f t="shared" si="48"/>
        <v>227467</v>
      </c>
      <c r="M200" s="106">
        <f t="shared" si="48"/>
        <v>227862</v>
      </c>
      <c r="N200" s="106">
        <f t="shared" si="48"/>
        <v>-495</v>
      </c>
      <c r="O200" s="587">
        <f t="shared" si="48"/>
        <v>100</v>
      </c>
      <c r="P200" s="107">
        <f t="shared" si="37"/>
        <v>6411326</v>
      </c>
      <c r="Q200" s="106">
        <f t="shared" si="37"/>
        <v>6377450</v>
      </c>
      <c r="R200" s="106">
        <f t="shared" si="37"/>
        <v>33476</v>
      </c>
      <c r="S200" s="587">
        <f t="shared" si="37"/>
        <v>400</v>
      </c>
    </row>
    <row r="201" spans="1:19" x14ac:dyDescent="0.25">
      <c r="A201" s="37"/>
      <c r="B201" s="588"/>
      <c r="C201" s="589"/>
      <c r="D201" s="590"/>
    </row>
    <row r="202" spans="1:19" x14ac:dyDescent="0.25">
      <c r="A202" s="37"/>
      <c r="B202" s="38"/>
      <c r="C202" s="20"/>
    </row>
    <row r="203" spans="1:19" x14ac:dyDescent="0.25">
      <c r="A203" s="37"/>
      <c r="B203" s="38"/>
      <c r="C203" s="20"/>
    </row>
    <row r="204" spans="1:19" x14ac:dyDescent="0.25">
      <c r="A204" s="37"/>
      <c r="B204" s="38"/>
      <c r="C204" s="20"/>
    </row>
    <row r="205" spans="1:19" x14ac:dyDescent="0.25">
      <c r="A205" s="37"/>
      <c r="B205" s="38"/>
      <c r="C205" s="20"/>
    </row>
    <row r="206" spans="1:19" x14ac:dyDescent="0.25">
      <c r="A206" s="37"/>
      <c r="B206" s="38"/>
      <c r="C206" s="20"/>
    </row>
    <row r="207" spans="1:19" s="37" customFormat="1" x14ac:dyDescent="0.25">
      <c r="B207" s="38"/>
      <c r="C207" s="20"/>
    </row>
    <row r="208" spans="1:19" s="37" customFormat="1" x14ac:dyDescent="0.25">
      <c r="B208" s="38"/>
      <c r="C208" s="20"/>
    </row>
    <row r="209" spans="2:3" s="37" customFormat="1" x14ac:dyDescent="0.25">
      <c r="B209" s="38"/>
      <c r="C209" s="20"/>
    </row>
    <row r="210" spans="2:3" s="37" customFormat="1" x14ac:dyDescent="0.25">
      <c r="B210" s="38"/>
      <c r="C210" s="20"/>
    </row>
    <row r="211" spans="2:3" s="37" customFormat="1" x14ac:dyDescent="0.25">
      <c r="B211" s="38"/>
      <c r="C211" s="20"/>
    </row>
    <row r="212" spans="2:3" s="37" customFormat="1" x14ac:dyDescent="0.25">
      <c r="B212" s="38"/>
      <c r="C212" s="20"/>
    </row>
    <row r="213" spans="2:3" s="37" customFormat="1" x14ac:dyDescent="0.25"/>
    <row r="214" spans="2:3" s="37" customFormat="1" x14ac:dyDescent="0.25"/>
    <row r="215" spans="2:3" s="37" customFormat="1" x14ac:dyDescent="0.25"/>
    <row r="216" spans="2:3" s="37" customFormat="1" x14ac:dyDescent="0.25"/>
    <row r="217" spans="2:3" s="37" customFormat="1" x14ac:dyDescent="0.25"/>
    <row r="218" spans="2:3" s="37" customFormat="1" x14ac:dyDescent="0.25"/>
    <row r="219" spans="2:3" s="37" customFormat="1" x14ac:dyDescent="0.25"/>
    <row r="220" spans="2:3" s="37" customFormat="1" x14ac:dyDescent="0.25"/>
    <row r="221" spans="2:3" s="37" customFormat="1" x14ac:dyDescent="0.25"/>
    <row r="222" spans="2:3" s="37" customFormat="1" x14ac:dyDescent="0.25"/>
    <row r="223" spans="2:3" s="37" customFormat="1" x14ac:dyDescent="0.25"/>
    <row r="224" spans="2:3" s="37" customFormat="1" x14ac:dyDescent="0.25"/>
    <row r="225" s="37" customFormat="1" x14ac:dyDescent="0.25"/>
    <row r="226" s="37" customFormat="1" x14ac:dyDescent="0.25"/>
    <row r="227" s="37" customFormat="1" x14ac:dyDescent="0.25"/>
    <row r="228" s="37" customFormat="1" x14ac:dyDescent="0.25"/>
    <row r="229" s="37" customFormat="1" x14ac:dyDescent="0.25"/>
    <row r="230" s="37" customFormat="1" x14ac:dyDescent="0.25"/>
    <row r="231" s="37" customFormat="1" x14ac:dyDescent="0.25"/>
    <row r="232" s="37" customFormat="1" x14ac:dyDescent="0.25"/>
    <row r="233" s="37" customFormat="1" x14ac:dyDescent="0.25"/>
    <row r="234" s="37" customFormat="1" x14ac:dyDescent="0.25"/>
    <row r="235" s="37" customFormat="1" x14ac:dyDescent="0.25"/>
    <row r="236" s="37" customFormat="1" x14ac:dyDescent="0.25"/>
    <row r="237" s="37" customFormat="1" x14ac:dyDescent="0.25"/>
    <row r="238" s="37" customFormat="1" x14ac:dyDescent="0.25"/>
    <row r="239" s="37" customFormat="1" x14ac:dyDescent="0.25"/>
    <row r="240" s="37" customFormat="1" x14ac:dyDescent="0.25"/>
    <row r="241" spans="2:3" s="37" customFormat="1" x14ac:dyDescent="0.25"/>
    <row r="242" spans="2:3" s="37" customFormat="1" x14ac:dyDescent="0.25"/>
    <row r="243" spans="2:3" s="37" customFormat="1" x14ac:dyDescent="0.25"/>
    <row r="244" spans="2:3" s="37" customFormat="1" x14ac:dyDescent="0.25"/>
    <row r="245" spans="2:3" s="37" customFormat="1" x14ac:dyDescent="0.25"/>
    <row r="246" spans="2:3" s="37" customFormat="1" x14ac:dyDescent="0.25"/>
    <row r="247" spans="2:3" s="37" customFormat="1" x14ac:dyDescent="0.25"/>
    <row r="248" spans="2:3" s="37" customFormat="1" x14ac:dyDescent="0.25"/>
    <row r="249" spans="2:3" s="37" customFormat="1" x14ac:dyDescent="0.25"/>
    <row r="250" spans="2:3" s="37" customFormat="1" x14ac:dyDescent="0.25"/>
    <row r="251" spans="2:3" s="37" customFormat="1" x14ac:dyDescent="0.25"/>
    <row r="252" spans="2:3" s="37" customFormat="1" x14ac:dyDescent="0.25"/>
    <row r="253" spans="2:3" s="37" customFormat="1" x14ac:dyDescent="0.25"/>
    <row r="254" spans="2:3" s="37" customFormat="1" x14ac:dyDescent="0.25"/>
    <row r="255" spans="2:3" s="37" customFormat="1" x14ac:dyDescent="0.25">
      <c r="B255" s="38"/>
      <c r="C255" s="20"/>
    </row>
    <row r="256" spans="2:3" s="37" customFormat="1" x14ac:dyDescent="0.25">
      <c r="B256" s="38"/>
      <c r="C256" s="20"/>
    </row>
    <row r="257" spans="2:3" s="37" customFormat="1" x14ac:dyDescent="0.25">
      <c r="B257" s="38"/>
      <c r="C257" s="20"/>
    </row>
    <row r="258" spans="2:3" s="37" customFormat="1" x14ac:dyDescent="0.25">
      <c r="B258" s="38"/>
      <c r="C258" s="20"/>
    </row>
  </sheetData>
  <mergeCells count="4">
    <mergeCell ref="D4:G4"/>
    <mergeCell ref="H4:K4"/>
    <mergeCell ref="L4:O4"/>
    <mergeCell ref="P4:S4"/>
  </mergeCells>
  <pageMargins left="1" right="1" top="1" bottom="1" header="0.5" footer="0.5"/>
  <pageSetup paperSize="9" scale="5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7E9C6-BB33-442C-8088-EB632723AFBE}">
  <dimension ref="A1:E48"/>
  <sheetViews>
    <sheetView view="pageBreakPreview" topLeftCell="A25" zoomScaleNormal="100" zoomScaleSheetLayoutView="100" workbookViewId="0">
      <selection activeCell="A29" sqref="A29"/>
    </sheetView>
  </sheetViews>
  <sheetFormatPr defaultRowHeight="15" x14ac:dyDescent="0.25"/>
  <cols>
    <col min="1" max="1" width="46.7109375" style="371" bestFit="1" customWidth="1"/>
    <col min="2" max="3" width="10.7109375" style="367" bestFit="1" customWidth="1"/>
    <col min="4" max="4" width="10.7109375" style="370" bestFit="1" customWidth="1"/>
    <col min="5" max="256" width="9.140625" style="368"/>
    <col min="257" max="257" width="43" style="368" customWidth="1"/>
    <col min="258" max="260" width="10.7109375" style="368" bestFit="1" customWidth="1"/>
    <col min="261" max="512" width="9.140625" style="368"/>
    <col min="513" max="513" width="43" style="368" customWidth="1"/>
    <col min="514" max="516" width="10.7109375" style="368" bestFit="1" customWidth="1"/>
    <col min="517" max="768" width="9.140625" style="368"/>
    <col min="769" max="769" width="43" style="368" customWidth="1"/>
    <col min="770" max="772" width="10.7109375" style="368" bestFit="1" customWidth="1"/>
    <col min="773" max="1024" width="9.140625" style="368"/>
    <col min="1025" max="1025" width="43" style="368" customWidth="1"/>
    <col min="1026" max="1028" width="10.7109375" style="368" bestFit="1" customWidth="1"/>
    <col min="1029" max="1280" width="9.140625" style="368"/>
    <col min="1281" max="1281" width="43" style="368" customWidth="1"/>
    <col min="1282" max="1284" width="10.7109375" style="368" bestFit="1" customWidth="1"/>
    <col min="1285" max="1536" width="9.140625" style="368"/>
    <col min="1537" max="1537" width="43" style="368" customWidth="1"/>
    <col min="1538" max="1540" width="10.7109375" style="368" bestFit="1" customWidth="1"/>
    <col min="1541" max="1792" width="9.140625" style="368"/>
    <col min="1793" max="1793" width="43" style="368" customWidth="1"/>
    <col min="1794" max="1796" width="10.7109375" style="368" bestFit="1" customWidth="1"/>
    <col min="1797" max="2048" width="9.140625" style="368"/>
    <col min="2049" max="2049" width="43" style="368" customWidth="1"/>
    <col min="2050" max="2052" width="10.7109375" style="368" bestFit="1" customWidth="1"/>
    <col min="2053" max="2304" width="9.140625" style="368"/>
    <col min="2305" max="2305" width="43" style="368" customWidth="1"/>
    <col min="2306" max="2308" width="10.7109375" style="368" bestFit="1" customWidth="1"/>
    <col min="2309" max="2560" width="9.140625" style="368"/>
    <col min="2561" max="2561" width="43" style="368" customWidth="1"/>
    <col min="2562" max="2564" width="10.7109375" style="368" bestFit="1" customWidth="1"/>
    <col min="2565" max="2816" width="9.140625" style="368"/>
    <col min="2817" max="2817" width="43" style="368" customWidth="1"/>
    <col min="2818" max="2820" width="10.7109375" style="368" bestFit="1" customWidth="1"/>
    <col min="2821" max="3072" width="9.140625" style="368"/>
    <col min="3073" max="3073" width="43" style="368" customWidth="1"/>
    <col min="3074" max="3076" width="10.7109375" style="368" bestFit="1" customWidth="1"/>
    <col min="3077" max="3328" width="9.140625" style="368"/>
    <col min="3329" max="3329" width="43" style="368" customWidth="1"/>
    <col min="3330" max="3332" width="10.7109375" style="368" bestFit="1" customWidth="1"/>
    <col min="3333" max="3584" width="9.140625" style="368"/>
    <col min="3585" max="3585" width="43" style="368" customWidth="1"/>
    <col min="3586" max="3588" width="10.7109375" style="368" bestFit="1" customWidth="1"/>
    <col min="3589" max="3840" width="9.140625" style="368"/>
    <col min="3841" max="3841" width="43" style="368" customWidth="1"/>
    <col min="3842" max="3844" width="10.7109375" style="368" bestFit="1" customWidth="1"/>
    <col min="3845" max="4096" width="9.140625" style="368"/>
    <col min="4097" max="4097" width="43" style="368" customWidth="1"/>
    <col min="4098" max="4100" width="10.7109375" style="368" bestFit="1" customWidth="1"/>
    <col min="4101" max="4352" width="9.140625" style="368"/>
    <col min="4353" max="4353" width="43" style="368" customWidth="1"/>
    <col min="4354" max="4356" width="10.7109375" style="368" bestFit="1" customWidth="1"/>
    <col min="4357" max="4608" width="9.140625" style="368"/>
    <col min="4609" max="4609" width="43" style="368" customWidth="1"/>
    <col min="4610" max="4612" width="10.7109375" style="368" bestFit="1" customWidth="1"/>
    <col min="4613" max="4864" width="9.140625" style="368"/>
    <col min="4865" max="4865" width="43" style="368" customWidth="1"/>
    <col min="4866" max="4868" width="10.7109375" style="368" bestFit="1" customWidth="1"/>
    <col min="4869" max="5120" width="9.140625" style="368"/>
    <col min="5121" max="5121" width="43" style="368" customWidth="1"/>
    <col min="5122" max="5124" width="10.7109375" style="368" bestFit="1" customWidth="1"/>
    <col min="5125" max="5376" width="9.140625" style="368"/>
    <col min="5377" max="5377" width="43" style="368" customWidth="1"/>
    <col min="5378" max="5380" width="10.7109375" style="368" bestFit="1" customWidth="1"/>
    <col min="5381" max="5632" width="9.140625" style="368"/>
    <col min="5633" max="5633" width="43" style="368" customWidth="1"/>
    <col min="5634" max="5636" width="10.7109375" style="368" bestFit="1" customWidth="1"/>
    <col min="5637" max="5888" width="9.140625" style="368"/>
    <col min="5889" max="5889" width="43" style="368" customWidth="1"/>
    <col min="5890" max="5892" width="10.7109375" style="368" bestFit="1" customWidth="1"/>
    <col min="5893" max="6144" width="9.140625" style="368"/>
    <col min="6145" max="6145" width="43" style="368" customWidth="1"/>
    <col min="6146" max="6148" width="10.7109375" style="368" bestFit="1" customWidth="1"/>
    <col min="6149" max="6400" width="9.140625" style="368"/>
    <col min="6401" max="6401" width="43" style="368" customWidth="1"/>
    <col min="6402" max="6404" width="10.7109375" style="368" bestFit="1" customWidth="1"/>
    <col min="6405" max="6656" width="9.140625" style="368"/>
    <col min="6657" max="6657" width="43" style="368" customWidth="1"/>
    <col min="6658" max="6660" width="10.7109375" style="368" bestFit="1" customWidth="1"/>
    <col min="6661" max="6912" width="9.140625" style="368"/>
    <col min="6913" max="6913" width="43" style="368" customWidth="1"/>
    <col min="6914" max="6916" width="10.7109375" style="368" bestFit="1" customWidth="1"/>
    <col min="6917" max="7168" width="9.140625" style="368"/>
    <col min="7169" max="7169" width="43" style="368" customWidth="1"/>
    <col min="7170" max="7172" width="10.7109375" style="368" bestFit="1" customWidth="1"/>
    <col min="7173" max="7424" width="9.140625" style="368"/>
    <col min="7425" max="7425" width="43" style="368" customWidth="1"/>
    <col min="7426" max="7428" width="10.7109375" style="368" bestFit="1" customWidth="1"/>
    <col min="7429" max="7680" width="9.140625" style="368"/>
    <col min="7681" max="7681" width="43" style="368" customWidth="1"/>
    <col min="7682" max="7684" width="10.7109375" style="368" bestFit="1" customWidth="1"/>
    <col min="7685" max="7936" width="9.140625" style="368"/>
    <col min="7937" max="7937" width="43" style="368" customWidth="1"/>
    <col min="7938" max="7940" width="10.7109375" style="368" bestFit="1" customWidth="1"/>
    <col min="7941" max="8192" width="9.140625" style="368"/>
    <col min="8193" max="8193" width="43" style="368" customWidth="1"/>
    <col min="8194" max="8196" width="10.7109375" style="368" bestFit="1" customWidth="1"/>
    <col min="8197" max="8448" width="9.140625" style="368"/>
    <col min="8449" max="8449" width="43" style="368" customWidth="1"/>
    <col min="8450" max="8452" width="10.7109375" style="368" bestFit="1" customWidth="1"/>
    <col min="8453" max="8704" width="9.140625" style="368"/>
    <col min="8705" max="8705" width="43" style="368" customWidth="1"/>
    <col min="8706" max="8708" width="10.7109375" style="368" bestFit="1" customWidth="1"/>
    <col min="8709" max="8960" width="9.140625" style="368"/>
    <col min="8961" max="8961" width="43" style="368" customWidth="1"/>
    <col min="8962" max="8964" width="10.7109375" style="368" bestFit="1" customWidth="1"/>
    <col min="8965" max="9216" width="9.140625" style="368"/>
    <col min="9217" max="9217" width="43" style="368" customWidth="1"/>
    <col min="9218" max="9220" width="10.7109375" style="368" bestFit="1" customWidth="1"/>
    <col min="9221" max="9472" width="9.140625" style="368"/>
    <col min="9473" max="9473" width="43" style="368" customWidth="1"/>
    <col min="9474" max="9476" width="10.7109375" style="368" bestFit="1" customWidth="1"/>
    <col min="9477" max="9728" width="9.140625" style="368"/>
    <col min="9729" max="9729" width="43" style="368" customWidth="1"/>
    <col min="9730" max="9732" width="10.7109375" style="368" bestFit="1" customWidth="1"/>
    <col min="9733" max="9984" width="9.140625" style="368"/>
    <col min="9985" max="9985" width="43" style="368" customWidth="1"/>
    <col min="9986" max="9988" width="10.7109375" style="368" bestFit="1" customWidth="1"/>
    <col min="9989" max="10240" width="9.140625" style="368"/>
    <col min="10241" max="10241" width="43" style="368" customWidth="1"/>
    <col min="10242" max="10244" width="10.7109375" style="368" bestFit="1" customWidth="1"/>
    <col min="10245" max="10496" width="9.140625" style="368"/>
    <col min="10497" max="10497" width="43" style="368" customWidth="1"/>
    <col min="10498" max="10500" width="10.7109375" style="368" bestFit="1" customWidth="1"/>
    <col min="10501" max="10752" width="9.140625" style="368"/>
    <col min="10753" max="10753" width="43" style="368" customWidth="1"/>
    <col min="10754" max="10756" width="10.7109375" style="368" bestFit="1" customWidth="1"/>
    <col min="10757" max="11008" width="9.140625" style="368"/>
    <col min="11009" max="11009" width="43" style="368" customWidth="1"/>
    <col min="11010" max="11012" width="10.7109375" style="368" bestFit="1" customWidth="1"/>
    <col min="11013" max="11264" width="9.140625" style="368"/>
    <col min="11265" max="11265" width="43" style="368" customWidth="1"/>
    <col min="11266" max="11268" width="10.7109375" style="368" bestFit="1" customWidth="1"/>
    <col min="11269" max="11520" width="9.140625" style="368"/>
    <col min="11521" max="11521" width="43" style="368" customWidth="1"/>
    <col min="11522" max="11524" width="10.7109375" style="368" bestFit="1" customWidth="1"/>
    <col min="11525" max="11776" width="9.140625" style="368"/>
    <col min="11777" max="11777" width="43" style="368" customWidth="1"/>
    <col min="11778" max="11780" width="10.7109375" style="368" bestFit="1" customWidth="1"/>
    <col min="11781" max="12032" width="9.140625" style="368"/>
    <col min="12033" max="12033" width="43" style="368" customWidth="1"/>
    <col min="12034" max="12036" width="10.7109375" style="368" bestFit="1" customWidth="1"/>
    <col min="12037" max="12288" width="9.140625" style="368"/>
    <col min="12289" max="12289" width="43" style="368" customWidth="1"/>
    <col min="12290" max="12292" width="10.7109375" style="368" bestFit="1" customWidth="1"/>
    <col min="12293" max="12544" width="9.140625" style="368"/>
    <col min="12545" max="12545" width="43" style="368" customWidth="1"/>
    <col min="12546" max="12548" width="10.7109375" style="368" bestFit="1" customWidth="1"/>
    <col min="12549" max="12800" width="9.140625" style="368"/>
    <col min="12801" max="12801" width="43" style="368" customWidth="1"/>
    <col min="12802" max="12804" width="10.7109375" style="368" bestFit="1" customWidth="1"/>
    <col min="12805" max="13056" width="9.140625" style="368"/>
    <col min="13057" max="13057" width="43" style="368" customWidth="1"/>
    <col min="13058" max="13060" width="10.7109375" style="368" bestFit="1" customWidth="1"/>
    <col min="13061" max="13312" width="9.140625" style="368"/>
    <col min="13313" max="13313" width="43" style="368" customWidth="1"/>
    <col min="13314" max="13316" width="10.7109375" style="368" bestFit="1" customWidth="1"/>
    <col min="13317" max="13568" width="9.140625" style="368"/>
    <col min="13569" max="13569" width="43" style="368" customWidth="1"/>
    <col min="13570" max="13572" width="10.7109375" style="368" bestFit="1" customWidth="1"/>
    <col min="13573" max="13824" width="9.140625" style="368"/>
    <col min="13825" max="13825" width="43" style="368" customWidth="1"/>
    <col min="13826" max="13828" width="10.7109375" style="368" bestFit="1" customWidth="1"/>
    <col min="13829" max="14080" width="9.140625" style="368"/>
    <col min="14081" max="14081" width="43" style="368" customWidth="1"/>
    <col min="14082" max="14084" width="10.7109375" style="368" bestFit="1" customWidth="1"/>
    <col min="14085" max="14336" width="9.140625" style="368"/>
    <col min="14337" max="14337" width="43" style="368" customWidth="1"/>
    <col min="14338" max="14340" width="10.7109375" style="368" bestFit="1" customWidth="1"/>
    <col min="14341" max="14592" width="9.140625" style="368"/>
    <col min="14593" max="14593" width="43" style="368" customWidth="1"/>
    <col min="14594" max="14596" width="10.7109375" style="368" bestFit="1" customWidth="1"/>
    <col min="14597" max="14848" width="9.140625" style="368"/>
    <col min="14849" max="14849" width="43" style="368" customWidth="1"/>
    <col min="14850" max="14852" width="10.7109375" style="368" bestFit="1" customWidth="1"/>
    <col min="14853" max="15104" width="9.140625" style="368"/>
    <col min="15105" max="15105" width="43" style="368" customWidth="1"/>
    <col min="15106" max="15108" width="10.7109375" style="368" bestFit="1" customWidth="1"/>
    <col min="15109" max="15360" width="9.140625" style="368"/>
    <col min="15361" max="15361" width="43" style="368" customWidth="1"/>
    <col min="15362" max="15364" width="10.7109375" style="368" bestFit="1" customWidth="1"/>
    <col min="15365" max="15616" width="9.140625" style="368"/>
    <col min="15617" max="15617" width="43" style="368" customWidth="1"/>
    <col min="15618" max="15620" width="10.7109375" style="368" bestFit="1" customWidth="1"/>
    <col min="15621" max="15872" width="9.140625" style="368"/>
    <col min="15873" max="15873" width="43" style="368" customWidth="1"/>
    <col min="15874" max="15876" width="10.7109375" style="368" bestFit="1" customWidth="1"/>
    <col min="15877" max="16128" width="9.140625" style="368"/>
    <col min="16129" max="16129" width="43" style="368" customWidth="1"/>
    <col min="16130" max="16132" width="10.7109375" style="368" bestFit="1" customWidth="1"/>
    <col min="16133" max="16384" width="9.140625" style="368"/>
  </cols>
  <sheetData>
    <row r="1" spans="1:5" x14ac:dyDescent="0.25">
      <c r="A1" s="367"/>
      <c r="D1" s="544" t="s">
        <v>952</v>
      </c>
    </row>
    <row r="2" spans="1:5" ht="14.25" x14ac:dyDescent="0.2">
      <c r="A2" s="369"/>
      <c r="B2" s="8"/>
      <c r="C2" s="8"/>
      <c r="D2" s="8"/>
    </row>
    <row r="3" spans="1:5" ht="15" customHeight="1" x14ac:dyDescent="0.25">
      <c r="A3" s="669" t="s">
        <v>653</v>
      </c>
      <c r="B3" s="669"/>
      <c r="C3" s="669"/>
    </row>
    <row r="4" spans="1:5" x14ac:dyDescent="0.25">
      <c r="C4" s="369"/>
      <c r="D4" s="369" t="s">
        <v>23</v>
      </c>
    </row>
    <row r="5" spans="1:5" ht="14.25" x14ac:dyDescent="0.2">
      <c r="A5" s="372" t="s">
        <v>654</v>
      </c>
      <c r="B5" s="545" t="s">
        <v>655</v>
      </c>
      <c r="C5" s="546" t="s">
        <v>656</v>
      </c>
      <c r="D5" s="546" t="s">
        <v>683</v>
      </c>
    </row>
    <row r="6" spans="1:5" x14ac:dyDescent="0.25">
      <c r="A6" s="373" t="s">
        <v>85</v>
      </c>
      <c r="B6" s="547">
        <v>220000</v>
      </c>
      <c r="C6" s="547">
        <v>230000</v>
      </c>
      <c r="D6" s="547">
        <v>240000</v>
      </c>
    </row>
    <row r="7" spans="1:5" x14ac:dyDescent="0.25">
      <c r="A7" s="374" t="s">
        <v>657</v>
      </c>
      <c r="B7" s="547">
        <v>1100000</v>
      </c>
      <c r="C7" s="547">
        <v>1100000</v>
      </c>
      <c r="D7" s="547">
        <v>1100000</v>
      </c>
    </row>
    <row r="8" spans="1:5" x14ac:dyDescent="0.25">
      <c r="A8" s="373" t="s">
        <v>658</v>
      </c>
      <c r="B8" s="547">
        <v>0</v>
      </c>
      <c r="C8" s="547">
        <v>0</v>
      </c>
      <c r="D8" s="547">
        <v>0</v>
      </c>
    </row>
    <row r="9" spans="1:5" x14ac:dyDescent="0.25">
      <c r="A9" s="373" t="s">
        <v>659</v>
      </c>
      <c r="B9" s="547">
        <v>15000</v>
      </c>
      <c r="C9" s="547">
        <v>16000</v>
      </c>
      <c r="D9" s="547">
        <v>16000</v>
      </c>
    </row>
    <row r="10" spans="1:5" x14ac:dyDescent="0.25">
      <c r="A10" s="373" t="s">
        <v>101</v>
      </c>
      <c r="B10" s="547">
        <v>1820000</v>
      </c>
      <c r="C10" s="547">
        <v>1910000</v>
      </c>
      <c r="D10" s="547">
        <v>1990000</v>
      </c>
    </row>
    <row r="11" spans="1:5" x14ac:dyDescent="0.25">
      <c r="A11" s="373" t="s">
        <v>154</v>
      </c>
      <c r="B11" s="547">
        <v>150000</v>
      </c>
      <c r="C11" s="547">
        <v>157500</v>
      </c>
      <c r="D11" s="547">
        <v>165375</v>
      </c>
      <c r="E11" s="375"/>
    </row>
    <row r="12" spans="1:5" x14ac:dyDescent="0.25">
      <c r="A12" s="373" t="s">
        <v>198</v>
      </c>
      <c r="B12" s="547">
        <v>100</v>
      </c>
      <c r="C12" s="547">
        <v>100</v>
      </c>
      <c r="D12" s="547">
        <v>100</v>
      </c>
      <c r="E12" s="375"/>
    </row>
    <row r="13" spans="1:5" x14ac:dyDescent="0.25">
      <c r="A13" s="376" t="s">
        <v>105</v>
      </c>
      <c r="B13" s="547">
        <v>0</v>
      </c>
      <c r="C13" s="547">
        <v>0</v>
      </c>
      <c r="D13" s="547">
        <v>0</v>
      </c>
      <c r="E13" s="375"/>
    </row>
    <row r="14" spans="1:5" x14ac:dyDescent="0.25">
      <c r="A14" s="373" t="s">
        <v>104</v>
      </c>
      <c r="B14" s="547">
        <v>55000</v>
      </c>
      <c r="C14" s="547">
        <v>60000</v>
      </c>
      <c r="D14" s="547">
        <v>65000</v>
      </c>
    </row>
    <row r="15" spans="1:5" x14ac:dyDescent="0.25">
      <c r="A15" s="373" t="s">
        <v>660</v>
      </c>
      <c r="B15" s="547">
        <v>2000</v>
      </c>
      <c r="C15" s="547">
        <v>2000</v>
      </c>
      <c r="D15" s="547">
        <v>2000</v>
      </c>
    </row>
    <row r="16" spans="1:5" x14ac:dyDescent="0.25">
      <c r="A16" s="377" t="s">
        <v>661</v>
      </c>
      <c r="B16" s="548">
        <f>SUM(B6:B15)</f>
        <v>3362100</v>
      </c>
      <c r="C16" s="548">
        <f>SUM(C6:C15)</f>
        <v>3475600</v>
      </c>
      <c r="D16" s="548">
        <f>SUM(D6:D15)</f>
        <v>3578475</v>
      </c>
    </row>
    <row r="17" spans="1:5" x14ac:dyDescent="0.25">
      <c r="A17" s="373" t="s">
        <v>662</v>
      </c>
      <c r="B17" s="547">
        <v>0</v>
      </c>
      <c r="C17" s="547">
        <v>0</v>
      </c>
      <c r="D17" s="547">
        <v>0</v>
      </c>
    </row>
    <row r="18" spans="1:5" x14ac:dyDescent="0.25">
      <c r="A18" s="373" t="s">
        <v>62</v>
      </c>
      <c r="B18" s="547">
        <v>290000</v>
      </c>
      <c r="C18" s="547">
        <v>300000</v>
      </c>
      <c r="D18" s="547">
        <v>305000</v>
      </c>
      <c r="E18" s="375"/>
    </row>
    <row r="19" spans="1:5" x14ac:dyDescent="0.25">
      <c r="A19" s="373" t="s">
        <v>111</v>
      </c>
      <c r="B19" s="547">
        <v>100000</v>
      </c>
      <c r="C19" s="547">
        <v>210000</v>
      </c>
      <c r="D19" s="547">
        <v>215000</v>
      </c>
      <c r="E19" s="375"/>
    </row>
    <row r="20" spans="1:5" x14ac:dyDescent="0.25">
      <c r="A20" s="373" t="s">
        <v>663</v>
      </c>
      <c r="B20" s="547">
        <v>14000</v>
      </c>
      <c r="C20" s="547">
        <v>14700</v>
      </c>
      <c r="D20" s="547">
        <v>15000</v>
      </c>
    </row>
    <row r="21" spans="1:5" x14ac:dyDescent="0.25">
      <c r="A21" s="373" t="s">
        <v>664</v>
      </c>
      <c r="B21" s="547">
        <v>4000</v>
      </c>
      <c r="C21" s="547">
        <v>4000</v>
      </c>
      <c r="D21" s="547">
        <v>4000</v>
      </c>
    </row>
    <row r="22" spans="1:5" x14ac:dyDescent="0.25">
      <c r="A22" s="373" t="s">
        <v>665</v>
      </c>
      <c r="B22" s="547">
        <v>0</v>
      </c>
      <c r="C22" s="547">
        <v>0</v>
      </c>
      <c r="D22" s="547">
        <v>0</v>
      </c>
    </row>
    <row r="23" spans="1:5" x14ac:dyDescent="0.25">
      <c r="A23" s="373" t="s">
        <v>113</v>
      </c>
      <c r="B23" s="547">
        <v>150000</v>
      </c>
      <c r="C23" s="547">
        <v>100000</v>
      </c>
      <c r="D23" s="547">
        <v>100000</v>
      </c>
    </row>
    <row r="24" spans="1:5" x14ac:dyDescent="0.25">
      <c r="A24" s="377" t="s">
        <v>666</v>
      </c>
      <c r="B24" s="548">
        <f>SUM(B17:B23)</f>
        <v>558000</v>
      </c>
      <c r="C24" s="548">
        <f>SUM(C17:C23)</f>
        <v>628700</v>
      </c>
      <c r="D24" s="548">
        <f>SUM(D17:D23)</f>
        <v>639000</v>
      </c>
    </row>
    <row r="25" spans="1:5" ht="13.5" customHeight="1" x14ac:dyDescent="0.2">
      <c r="A25" s="378" t="s">
        <v>667</v>
      </c>
      <c r="B25" s="549">
        <f>B16+B24</f>
        <v>3920100</v>
      </c>
      <c r="C25" s="549">
        <f>C16+C24</f>
        <v>4104300</v>
      </c>
      <c r="D25" s="549">
        <f>D16+D24</f>
        <v>4217475</v>
      </c>
    </row>
    <row r="26" spans="1:5" ht="13.5" customHeight="1" x14ac:dyDescent="0.2">
      <c r="A26" s="378"/>
      <c r="B26" s="549"/>
      <c r="C26" s="549"/>
      <c r="D26" s="549"/>
    </row>
    <row r="27" spans="1:5" ht="14.25" x14ac:dyDescent="0.2">
      <c r="A27" s="372" t="s">
        <v>668</v>
      </c>
      <c r="B27" s="545" t="s">
        <v>655</v>
      </c>
      <c r="C27" s="546" t="s">
        <v>656</v>
      </c>
      <c r="D27" s="546" t="s">
        <v>683</v>
      </c>
    </row>
    <row r="28" spans="1:5" x14ac:dyDescent="0.25">
      <c r="A28" s="373" t="s">
        <v>20</v>
      </c>
      <c r="B28" s="547">
        <v>1121000</v>
      </c>
      <c r="C28" s="547">
        <v>1178000</v>
      </c>
      <c r="D28" s="547">
        <v>1236780</v>
      </c>
    </row>
    <row r="29" spans="1:5" ht="30" x14ac:dyDescent="0.25">
      <c r="A29" s="374" t="s">
        <v>73</v>
      </c>
      <c r="B29" s="547">
        <v>145730</v>
      </c>
      <c r="C29" s="547">
        <v>153140</v>
      </c>
      <c r="D29" s="547">
        <v>160781.4</v>
      </c>
    </row>
    <row r="30" spans="1:5" x14ac:dyDescent="0.25">
      <c r="A30" s="373" t="s">
        <v>25</v>
      </c>
      <c r="B30" s="547">
        <v>1600000</v>
      </c>
      <c r="C30" s="547">
        <v>1650000</v>
      </c>
      <c r="D30" s="547">
        <v>1750000</v>
      </c>
    </row>
    <row r="31" spans="1:5" x14ac:dyDescent="0.25">
      <c r="A31" s="373" t="s">
        <v>669</v>
      </c>
      <c r="B31" s="547">
        <v>485000</v>
      </c>
      <c r="C31" s="547">
        <v>490000</v>
      </c>
      <c r="D31" s="547">
        <v>500000</v>
      </c>
    </row>
    <row r="32" spans="1:5" x14ac:dyDescent="0.25">
      <c r="A32" s="373" t="s">
        <v>670</v>
      </c>
      <c r="B32" s="547">
        <v>15000</v>
      </c>
      <c r="C32" s="547">
        <v>15000</v>
      </c>
      <c r="D32" s="547">
        <v>15000</v>
      </c>
      <c r="E32" s="375"/>
    </row>
    <row r="33" spans="1:5" x14ac:dyDescent="0.25">
      <c r="A33" s="373" t="s">
        <v>671</v>
      </c>
      <c r="B33" s="547">
        <v>0</v>
      </c>
      <c r="C33" s="547">
        <v>0</v>
      </c>
      <c r="D33" s="547">
        <v>0</v>
      </c>
      <c r="E33" s="375"/>
    </row>
    <row r="34" spans="1:5" x14ac:dyDescent="0.25">
      <c r="A34" s="373" t="s">
        <v>672</v>
      </c>
      <c r="B34" s="547">
        <v>1000</v>
      </c>
      <c r="C34" s="547">
        <v>1000</v>
      </c>
      <c r="D34" s="547">
        <v>1000</v>
      </c>
    </row>
    <row r="35" spans="1:5" x14ac:dyDescent="0.25">
      <c r="A35" s="373" t="s">
        <v>106</v>
      </c>
      <c r="B35" s="547">
        <v>0</v>
      </c>
      <c r="C35" s="547">
        <v>0</v>
      </c>
      <c r="D35" s="547">
        <v>0</v>
      </c>
    </row>
    <row r="36" spans="1:5" x14ac:dyDescent="0.25">
      <c r="A36" s="373" t="s">
        <v>673</v>
      </c>
      <c r="B36" s="547">
        <v>5000</v>
      </c>
      <c r="C36" s="547">
        <v>5000</v>
      </c>
      <c r="D36" s="547">
        <v>5000</v>
      </c>
    </row>
    <row r="37" spans="1:5" x14ac:dyDescent="0.25">
      <c r="A37" s="377" t="s">
        <v>674</v>
      </c>
      <c r="B37" s="548">
        <f>SUM(B28:B36)</f>
        <v>3372730</v>
      </c>
      <c r="C37" s="548">
        <f>SUM(C28:C36)</f>
        <v>3492140</v>
      </c>
      <c r="D37" s="548">
        <f>SUM(D28:D36)</f>
        <v>3668561.4</v>
      </c>
    </row>
    <row r="38" spans="1:5" x14ac:dyDescent="0.25">
      <c r="A38" s="373" t="s">
        <v>675</v>
      </c>
      <c r="B38" s="547">
        <v>160000</v>
      </c>
      <c r="C38" s="547">
        <v>165000</v>
      </c>
      <c r="D38" s="547">
        <v>165000</v>
      </c>
    </row>
    <row r="39" spans="1:5" x14ac:dyDescent="0.25">
      <c r="A39" s="373" t="s">
        <v>46</v>
      </c>
      <c r="B39" s="547">
        <v>308613</v>
      </c>
      <c r="C39" s="547">
        <v>369214</v>
      </c>
      <c r="D39" s="547">
        <v>307129</v>
      </c>
    </row>
    <row r="40" spans="1:5" x14ac:dyDescent="0.25">
      <c r="A40" s="373" t="s">
        <v>676</v>
      </c>
      <c r="B40" s="547">
        <v>7000</v>
      </c>
      <c r="C40" s="547">
        <v>7350</v>
      </c>
      <c r="D40" s="547">
        <v>7350</v>
      </c>
    </row>
    <row r="41" spans="1:5" x14ac:dyDescent="0.25">
      <c r="A41" s="373" t="s">
        <v>677</v>
      </c>
      <c r="B41" s="547">
        <v>26389</v>
      </c>
      <c r="C41" s="547">
        <v>26389</v>
      </c>
      <c r="D41" s="547">
        <v>26389</v>
      </c>
    </row>
    <row r="42" spans="1:5" x14ac:dyDescent="0.25">
      <c r="A42" s="373" t="s">
        <v>678</v>
      </c>
      <c r="B42" s="547">
        <v>5368</v>
      </c>
      <c r="C42" s="547">
        <v>4207</v>
      </c>
      <c r="D42" s="547">
        <v>3046</v>
      </c>
    </row>
    <row r="43" spans="1:5" x14ac:dyDescent="0.25">
      <c r="A43" s="373" t="s">
        <v>679</v>
      </c>
      <c r="B43" s="547">
        <v>0</v>
      </c>
      <c r="C43" s="547">
        <v>0</v>
      </c>
      <c r="D43" s="547">
        <v>0</v>
      </c>
    </row>
    <row r="44" spans="1:5" x14ac:dyDescent="0.25">
      <c r="A44" s="373" t="s">
        <v>680</v>
      </c>
      <c r="B44" s="547">
        <v>40000</v>
      </c>
      <c r="C44" s="547">
        <v>40000</v>
      </c>
      <c r="D44" s="547">
        <v>40000</v>
      </c>
    </row>
    <row r="45" spans="1:5" x14ac:dyDescent="0.25">
      <c r="A45" s="377" t="s">
        <v>681</v>
      </c>
      <c r="B45" s="548">
        <f>SUM(B38:B44)</f>
        <v>547370</v>
      </c>
      <c r="C45" s="548">
        <f>SUM(C38:C44)</f>
        <v>612160</v>
      </c>
      <c r="D45" s="548">
        <f>SUM(D38:D44)</f>
        <v>548914</v>
      </c>
    </row>
    <row r="46" spans="1:5" ht="14.25" x14ac:dyDescent="0.2">
      <c r="A46" s="378" t="s">
        <v>682</v>
      </c>
      <c r="B46" s="549">
        <f>B37+B45</f>
        <v>3920100</v>
      </c>
      <c r="C46" s="549">
        <f>C37+C45</f>
        <v>4104300</v>
      </c>
      <c r="D46" s="549">
        <f>D37+D45</f>
        <v>4217475.4000000004</v>
      </c>
    </row>
    <row r="47" spans="1:5" s="370" customFormat="1" x14ac:dyDescent="0.25">
      <c r="A47" s="371"/>
      <c r="B47" s="367"/>
      <c r="C47" s="367"/>
    </row>
    <row r="48" spans="1:5" s="370" customFormat="1" x14ac:dyDescent="0.25">
      <c r="A48" s="371"/>
      <c r="B48" s="367"/>
      <c r="C48" s="367"/>
    </row>
  </sheetData>
  <mergeCells count="1">
    <mergeCell ref="A3:C3"/>
  </mergeCells>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2501E-52AC-47F2-BC4C-46780E51F5E8}">
  <sheetPr>
    <pageSetUpPr fitToPage="1"/>
  </sheetPr>
  <dimension ref="A1:C58"/>
  <sheetViews>
    <sheetView topLeftCell="A26" zoomScaleNormal="100" workbookViewId="0">
      <selection activeCell="A32" sqref="A32:C32"/>
    </sheetView>
  </sheetViews>
  <sheetFormatPr defaultRowHeight="12.75" x14ac:dyDescent="0.2"/>
  <cols>
    <col min="1" max="1" width="64.85546875" style="8" customWidth="1"/>
    <col min="2" max="2" width="58.28515625" style="8" customWidth="1"/>
    <col min="3" max="3" width="33.140625" style="8" customWidth="1"/>
    <col min="4" max="256" width="9.140625" style="8"/>
    <col min="257" max="257" width="64.85546875" style="8" customWidth="1"/>
    <col min="258" max="258" width="58.28515625" style="8" customWidth="1"/>
    <col min="259" max="259" width="33.140625" style="8" customWidth="1"/>
    <col min="260" max="512" width="9.140625" style="8"/>
    <col min="513" max="513" width="64.85546875" style="8" customWidth="1"/>
    <col min="514" max="514" width="58.28515625" style="8" customWidth="1"/>
    <col min="515" max="515" width="33.140625" style="8" customWidth="1"/>
    <col min="516" max="768" width="9.140625" style="8"/>
    <col min="769" max="769" width="64.85546875" style="8" customWidth="1"/>
    <col min="770" max="770" width="58.28515625" style="8" customWidth="1"/>
    <col min="771" max="771" width="33.140625" style="8" customWidth="1"/>
    <col min="772" max="1024" width="9.140625" style="8"/>
    <col min="1025" max="1025" width="64.85546875" style="8" customWidth="1"/>
    <col min="1026" max="1026" width="58.28515625" style="8" customWidth="1"/>
    <col min="1027" max="1027" width="33.140625" style="8" customWidth="1"/>
    <col min="1028" max="1280" width="9.140625" style="8"/>
    <col min="1281" max="1281" width="64.85546875" style="8" customWidth="1"/>
    <col min="1282" max="1282" width="58.28515625" style="8" customWidth="1"/>
    <col min="1283" max="1283" width="33.140625" style="8" customWidth="1"/>
    <col min="1284" max="1536" width="9.140625" style="8"/>
    <col min="1537" max="1537" width="64.85546875" style="8" customWidth="1"/>
    <col min="1538" max="1538" width="58.28515625" style="8" customWidth="1"/>
    <col min="1539" max="1539" width="33.140625" style="8" customWidth="1"/>
    <col min="1540" max="1792" width="9.140625" style="8"/>
    <col min="1793" max="1793" width="64.85546875" style="8" customWidth="1"/>
    <col min="1794" max="1794" width="58.28515625" style="8" customWidth="1"/>
    <col min="1795" max="1795" width="33.140625" style="8" customWidth="1"/>
    <col min="1796" max="2048" width="9.140625" style="8"/>
    <col min="2049" max="2049" width="64.85546875" style="8" customWidth="1"/>
    <col min="2050" max="2050" width="58.28515625" style="8" customWidth="1"/>
    <col min="2051" max="2051" width="33.140625" style="8" customWidth="1"/>
    <col min="2052" max="2304" width="9.140625" style="8"/>
    <col min="2305" max="2305" width="64.85546875" style="8" customWidth="1"/>
    <col min="2306" max="2306" width="58.28515625" style="8" customWidth="1"/>
    <col min="2307" max="2307" width="33.140625" style="8" customWidth="1"/>
    <col min="2308" max="2560" width="9.140625" style="8"/>
    <col min="2561" max="2561" width="64.85546875" style="8" customWidth="1"/>
    <col min="2562" max="2562" width="58.28515625" style="8" customWidth="1"/>
    <col min="2563" max="2563" width="33.140625" style="8" customWidth="1"/>
    <col min="2564" max="2816" width="9.140625" style="8"/>
    <col min="2817" max="2817" width="64.85546875" style="8" customWidth="1"/>
    <col min="2818" max="2818" width="58.28515625" style="8" customWidth="1"/>
    <col min="2819" max="2819" width="33.140625" style="8" customWidth="1"/>
    <col min="2820" max="3072" width="9.140625" style="8"/>
    <col min="3073" max="3073" width="64.85546875" style="8" customWidth="1"/>
    <col min="3074" max="3074" width="58.28515625" style="8" customWidth="1"/>
    <col min="3075" max="3075" width="33.140625" style="8" customWidth="1"/>
    <col min="3076" max="3328" width="9.140625" style="8"/>
    <col min="3329" max="3329" width="64.85546875" style="8" customWidth="1"/>
    <col min="3330" max="3330" width="58.28515625" style="8" customWidth="1"/>
    <col min="3331" max="3331" width="33.140625" style="8" customWidth="1"/>
    <col min="3332" max="3584" width="9.140625" style="8"/>
    <col min="3585" max="3585" width="64.85546875" style="8" customWidth="1"/>
    <col min="3586" max="3586" width="58.28515625" style="8" customWidth="1"/>
    <col min="3587" max="3587" width="33.140625" style="8" customWidth="1"/>
    <col min="3588" max="3840" width="9.140625" style="8"/>
    <col min="3841" max="3841" width="64.85546875" style="8" customWidth="1"/>
    <col min="3842" max="3842" width="58.28515625" style="8" customWidth="1"/>
    <col min="3843" max="3843" width="33.140625" style="8" customWidth="1"/>
    <col min="3844" max="4096" width="9.140625" style="8"/>
    <col min="4097" max="4097" width="64.85546875" style="8" customWidth="1"/>
    <col min="4098" max="4098" width="58.28515625" style="8" customWidth="1"/>
    <col min="4099" max="4099" width="33.140625" style="8" customWidth="1"/>
    <col min="4100" max="4352" width="9.140625" style="8"/>
    <col min="4353" max="4353" width="64.85546875" style="8" customWidth="1"/>
    <col min="4354" max="4354" width="58.28515625" style="8" customWidth="1"/>
    <col min="4355" max="4355" width="33.140625" style="8" customWidth="1"/>
    <col min="4356" max="4608" width="9.140625" style="8"/>
    <col min="4609" max="4609" width="64.85546875" style="8" customWidth="1"/>
    <col min="4610" max="4610" width="58.28515625" style="8" customWidth="1"/>
    <col min="4611" max="4611" width="33.140625" style="8" customWidth="1"/>
    <col min="4612" max="4864" width="9.140625" style="8"/>
    <col min="4865" max="4865" width="64.85546875" style="8" customWidth="1"/>
    <col min="4866" max="4866" width="58.28515625" style="8" customWidth="1"/>
    <col min="4867" max="4867" width="33.140625" style="8" customWidth="1"/>
    <col min="4868" max="5120" width="9.140625" style="8"/>
    <col min="5121" max="5121" width="64.85546875" style="8" customWidth="1"/>
    <col min="5122" max="5122" width="58.28515625" style="8" customWidth="1"/>
    <col min="5123" max="5123" width="33.140625" style="8" customWidth="1"/>
    <col min="5124" max="5376" width="9.140625" style="8"/>
    <col min="5377" max="5377" width="64.85546875" style="8" customWidth="1"/>
    <col min="5378" max="5378" width="58.28515625" style="8" customWidth="1"/>
    <col min="5379" max="5379" width="33.140625" style="8" customWidth="1"/>
    <col min="5380" max="5632" width="9.140625" style="8"/>
    <col min="5633" max="5633" width="64.85546875" style="8" customWidth="1"/>
    <col min="5634" max="5634" width="58.28515625" style="8" customWidth="1"/>
    <col min="5635" max="5635" width="33.140625" style="8" customWidth="1"/>
    <col min="5636" max="5888" width="9.140625" style="8"/>
    <col min="5889" max="5889" width="64.85546875" style="8" customWidth="1"/>
    <col min="5890" max="5890" width="58.28515625" style="8" customWidth="1"/>
    <col min="5891" max="5891" width="33.140625" style="8" customWidth="1"/>
    <col min="5892" max="6144" width="9.140625" style="8"/>
    <col min="6145" max="6145" width="64.85546875" style="8" customWidth="1"/>
    <col min="6146" max="6146" width="58.28515625" style="8" customWidth="1"/>
    <col min="6147" max="6147" width="33.140625" style="8" customWidth="1"/>
    <col min="6148" max="6400" width="9.140625" style="8"/>
    <col min="6401" max="6401" width="64.85546875" style="8" customWidth="1"/>
    <col min="6402" max="6402" width="58.28515625" style="8" customWidth="1"/>
    <col min="6403" max="6403" width="33.140625" style="8" customWidth="1"/>
    <col min="6404" max="6656" width="9.140625" style="8"/>
    <col min="6657" max="6657" width="64.85546875" style="8" customWidth="1"/>
    <col min="6658" max="6658" width="58.28515625" style="8" customWidth="1"/>
    <col min="6659" max="6659" width="33.140625" style="8" customWidth="1"/>
    <col min="6660" max="6912" width="9.140625" style="8"/>
    <col min="6913" max="6913" width="64.85546875" style="8" customWidth="1"/>
    <col min="6914" max="6914" width="58.28515625" style="8" customWidth="1"/>
    <col min="6915" max="6915" width="33.140625" style="8" customWidth="1"/>
    <col min="6916" max="7168" width="9.140625" style="8"/>
    <col min="7169" max="7169" width="64.85546875" style="8" customWidth="1"/>
    <col min="7170" max="7170" width="58.28515625" style="8" customWidth="1"/>
    <col min="7171" max="7171" width="33.140625" style="8" customWidth="1"/>
    <col min="7172" max="7424" width="9.140625" style="8"/>
    <col min="7425" max="7425" width="64.85546875" style="8" customWidth="1"/>
    <col min="7426" max="7426" width="58.28515625" style="8" customWidth="1"/>
    <col min="7427" max="7427" width="33.140625" style="8" customWidth="1"/>
    <col min="7428" max="7680" width="9.140625" style="8"/>
    <col min="7681" max="7681" width="64.85546875" style="8" customWidth="1"/>
    <col min="7682" max="7682" width="58.28515625" style="8" customWidth="1"/>
    <col min="7683" max="7683" width="33.140625" style="8" customWidth="1"/>
    <col min="7684" max="7936" width="9.140625" style="8"/>
    <col min="7937" max="7937" width="64.85546875" style="8" customWidth="1"/>
    <col min="7938" max="7938" width="58.28515625" style="8" customWidth="1"/>
    <col min="7939" max="7939" width="33.140625" style="8" customWidth="1"/>
    <col min="7940" max="8192" width="9.140625" style="8"/>
    <col min="8193" max="8193" width="64.85546875" style="8" customWidth="1"/>
    <col min="8194" max="8194" width="58.28515625" style="8" customWidth="1"/>
    <col min="8195" max="8195" width="33.140625" style="8" customWidth="1"/>
    <col min="8196" max="8448" width="9.140625" style="8"/>
    <col min="8449" max="8449" width="64.85546875" style="8" customWidth="1"/>
    <col min="8450" max="8450" width="58.28515625" style="8" customWidth="1"/>
    <col min="8451" max="8451" width="33.140625" style="8" customWidth="1"/>
    <col min="8452" max="8704" width="9.140625" style="8"/>
    <col min="8705" max="8705" width="64.85546875" style="8" customWidth="1"/>
    <col min="8706" max="8706" width="58.28515625" style="8" customWidth="1"/>
    <col min="8707" max="8707" width="33.140625" style="8" customWidth="1"/>
    <col min="8708" max="8960" width="9.140625" style="8"/>
    <col min="8961" max="8961" width="64.85546875" style="8" customWidth="1"/>
    <col min="8962" max="8962" width="58.28515625" style="8" customWidth="1"/>
    <col min="8963" max="8963" width="33.140625" style="8" customWidth="1"/>
    <col min="8964" max="9216" width="9.140625" style="8"/>
    <col min="9217" max="9217" width="64.85546875" style="8" customWidth="1"/>
    <col min="9218" max="9218" width="58.28515625" style="8" customWidth="1"/>
    <col min="9219" max="9219" width="33.140625" style="8" customWidth="1"/>
    <col min="9220" max="9472" width="9.140625" style="8"/>
    <col min="9473" max="9473" width="64.85546875" style="8" customWidth="1"/>
    <col min="9474" max="9474" width="58.28515625" style="8" customWidth="1"/>
    <col min="9475" max="9475" width="33.140625" style="8" customWidth="1"/>
    <col min="9476" max="9728" width="9.140625" style="8"/>
    <col min="9729" max="9729" width="64.85546875" style="8" customWidth="1"/>
    <col min="9730" max="9730" width="58.28515625" style="8" customWidth="1"/>
    <col min="9731" max="9731" width="33.140625" style="8" customWidth="1"/>
    <col min="9732" max="9984" width="9.140625" style="8"/>
    <col min="9985" max="9985" width="64.85546875" style="8" customWidth="1"/>
    <col min="9986" max="9986" width="58.28515625" style="8" customWidth="1"/>
    <col min="9987" max="9987" width="33.140625" style="8" customWidth="1"/>
    <col min="9988" max="10240" width="9.140625" style="8"/>
    <col min="10241" max="10241" width="64.85546875" style="8" customWidth="1"/>
    <col min="10242" max="10242" width="58.28515625" style="8" customWidth="1"/>
    <col min="10243" max="10243" width="33.140625" style="8" customWidth="1"/>
    <col min="10244" max="10496" width="9.140625" style="8"/>
    <col min="10497" max="10497" width="64.85546875" style="8" customWidth="1"/>
    <col min="10498" max="10498" width="58.28515625" style="8" customWidth="1"/>
    <col min="10499" max="10499" width="33.140625" style="8" customWidth="1"/>
    <col min="10500" max="10752" width="9.140625" style="8"/>
    <col min="10753" max="10753" width="64.85546875" style="8" customWidth="1"/>
    <col min="10754" max="10754" width="58.28515625" style="8" customWidth="1"/>
    <col min="10755" max="10755" width="33.140625" style="8" customWidth="1"/>
    <col min="10756" max="11008" width="9.140625" style="8"/>
    <col min="11009" max="11009" width="64.85546875" style="8" customWidth="1"/>
    <col min="11010" max="11010" width="58.28515625" style="8" customWidth="1"/>
    <col min="11011" max="11011" width="33.140625" style="8" customWidth="1"/>
    <col min="11012" max="11264" width="9.140625" style="8"/>
    <col min="11265" max="11265" width="64.85546875" style="8" customWidth="1"/>
    <col min="11266" max="11266" width="58.28515625" style="8" customWidth="1"/>
    <col min="11267" max="11267" width="33.140625" style="8" customWidth="1"/>
    <col min="11268" max="11520" width="9.140625" style="8"/>
    <col min="11521" max="11521" width="64.85546875" style="8" customWidth="1"/>
    <col min="11522" max="11522" width="58.28515625" style="8" customWidth="1"/>
    <col min="11523" max="11523" width="33.140625" style="8" customWidth="1"/>
    <col min="11524" max="11776" width="9.140625" style="8"/>
    <col min="11777" max="11777" width="64.85546875" style="8" customWidth="1"/>
    <col min="11778" max="11778" width="58.28515625" style="8" customWidth="1"/>
    <col min="11779" max="11779" width="33.140625" style="8" customWidth="1"/>
    <col min="11780" max="12032" width="9.140625" style="8"/>
    <col min="12033" max="12033" width="64.85546875" style="8" customWidth="1"/>
    <col min="12034" max="12034" width="58.28515625" style="8" customWidth="1"/>
    <col min="12035" max="12035" width="33.140625" style="8" customWidth="1"/>
    <col min="12036" max="12288" width="9.140625" style="8"/>
    <col min="12289" max="12289" width="64.85546875" style="8" customWidth="1"/>
    <col min="12290" max="12290" width="58.28515625" style="8" customWidth="1"/>
    <col min="12291" max="12291" width="33.140625" style="8" customWidth="1"/>
    <col min="12292" max="12544" width="9.140625" style="8"/>
    <col min="12545" max="12545" width="64.85546875" style="8" customWidth="1"/>
    <col min="12546" max="12546" width="58.28515625" style="8" customWidth="1"/>
    <col min="12547" max="12547" width="33.140625" style="8" customWidth="1"/>
    <col min="12548" max="12800" width="9.140625" style="8"/>
    <col min="12801" max="12801" width="64.85546875" style="8" customWidth="1"/>
    <col min="12802" max="12802" width="58.28515625" style="8" customWidth="1"/>
    <col min="12803" max="12803" width="33.140625" style="8" customWidth="1"/>
    <col min="12804" max="13056" width="9.140625" style="8"/>
    <col min="13057" max="13057" width="64.85546875" style="8" customWidth="1"/>
    <col min="13058" max="13058" width="58.28515625" style="8" customWidth="1"/>
    <col min="13059" max="13059" width="33.140625" style="8" customWidth="1"/>
    <col min="13060" max="13312" width="9.140625" style="8"/>
    <col min="13313" max="13313" width="64.85546875" style="8" customWidth="1"/>
    <col min="13314" max="13314" width="58.28515625" style="8" customWidth="1"/>
    <col min="13315" max="13315" width="33.140625" style="8" customWidth="1"/>
    <col min="13316" max="13568" width="9.140625" style="8"/>
    <col min="13569" max="13569" width="64.85546875" style="8" customWidth="1"/>
    <col min="13570" max="13570" width="58.28515625" style="8" customWidth="1"/>
    <col min="13571" max="13571" width="33.140625" style="8" customWidth="1"/>
    <col min="13572" max="13824" width="9.140625" style="8"/>
    <col min="13825" max="13825" width="64.85546875" style="8" customWidth="1"/>
    <col min="13826" max="13826" width="58.28515625" style="8" customWidth="1"/>
    <col min="13827" max="13827" width="33.140625" style="8" customWidth="1"/>
    <col min="13828" max="14080" width="9.140625" style="8"/>
    <col min="14081" max="14081" width="64.85546875" style="8" customWidth="1"/>
    <col min="14082" max="14082" width="58.28515625" style="8" customWidth="1"/>
    <col min="14083" max="14083" width="33.140625" style="8" customWidth="1"/>
    <col min="14084" max="14336" width="9.140625" style="8"/>
    <col min="14337" max="14337" width="64.85546875" style="8" customWidth="1"/>
    <col min="14338" max="14338" width="58.28515625" style="8" customWidth="1"/>
    <col min="14339" max="14339" width="33.140625" style="8" customWidth="1"/>
    <col min="14340" max="14592" width="9.140625" style="8"/>
    <col min="14593" max="14593" width="64.85546875" style="8" customWidth="1"/>
    <col min="14594" max="14594" width="58.28515625" style="8" customWidth="1"/>
    <col min="14595" max="14595" width="33.140625" style="8" customWidth="1"/>
    <col min="14596" max="14848" width="9.140625" style="8"/>
    <col min="14849" max="14849" width="64.85546875" style="8" customWidth="1"/>
    <col min="14850" max="14850" width="58.28515625" style="8" customWidth="1"/>
    <col min="14851" max="14851" width="33.140625" style="8" customWidth="1"/>
    <col min="14852" max="15104" width="9.140625" style="8"/>
    <col min="15105" max="15105" width="64.85546875" style="8" customWidth="1"/>
    <col min="15106" max="15106" width="58.28515625" style="8" customWidth="1"/>
    <col min="15107" max="15107" width="33.140625" style="8" customWidth="1"/>
    <col min="15108" max="15360" width="9.140625" style="8"/>
    <col min="15361" max="15361" width="64.85546875" style="8" customWidth="1"/>
    <col min="15362" max="15362" width="58.28515625" style="8" customWidth="1"/>
    <col min="15363" max="15363" width="33.140625" style="8" customWidth="1"/>
    <col min="15364" max="15616" width="9.140625" style="8"/>
    <col min="15617" max="15617" width="64.85546875" style="8" customWidth="1"/>
    <col min="15618" max="15618" width="58.28515625" style="8" customWidth="1"/>
    <col min="15619" max="15619" width="33.140625" style="8" customWidth="1"/>
    <col min="15620" max="15872" width="9.140625" style="8"/>
    <col min="15873" max="15873" width="64.85546875" style="8" customWidth="1"/>
    <col min="15874" max="15874" width="58.28515625" style="8" customWidth="1"/>
    <col min="15875" max="15875" width="33.140625" style="8" customWidth="1"/>
    <col min="15876" max="16128" width="9.140625" style="8"/>
    <col min="16129" max="16129" width="64.85546875" style="8" customWidth="1"/>
    <col min="16130" max="16130" width="58.28515625" style="8" customWidth="1"/>
    <col min="16131" max="16131" width="33.140625" style="8" customWidth="1"/>
    <col min="16132" max="16384" width="9.140625" style="8"/>
  </cols>
  <sheetData>
    <row r="1" spans="1:3" x14ac:dyDescent="0.2">
      <c r="A1" s="671" t="s">
        <v>953</v>
      </c>
      <c r="B1" s="671"/>
      <c r="C1" s="671"/>
    </row>
    <row r="2" spans="1:3" x14ac:dyDescent="0.2">
      <c r="A2" s="379"/>
      <c r="B2" s="379"/>
      <c r="C2" s="379"/>
    </row>
    <row r="3" spans="1:3" ht="15.75" x14ac:dyDescent="0.25">
      <c r="A3" s="380" t="s">
        <v>684</v>
      </c>
      <c r="B3" s="380"/>
      <c r="C3" s="380"/>
    </row>
    <row r="4" spans="1:3" ht="15.75" x14ac:dyDescent="0.25">
      <c r="A4" s="381"/>
      <c r="B4" s="381"/>
      <c r="C4" s="381"/>
    </row>
    <row r="5" spans="1:3" ht="15.75" x14ac:dyDescent="0.25">
      <c r="A5" s="382" t="s">
        <v>685</v>
      </c>
      <c r="B5" s="383" t="s">
        <v>686</v>
      </c>
      <c r="C5" s="384" t="s">
        <v>687</v>
      </c>
    </row>
    <row r="6" spans="1:3" ht="15.75" x14ac:dyDescent="0.25">
      <c r="A6" s="385" t="s">
        <v>688</v>
      </c>
      <c r="B6" s="386" t="s">
        <v>689</v>
      </c>
      <c r="C6" s="387">
        <v>14394</v>
      </c>
    </row>
    <row r="7" spans="1:3" ht="15.75" x14ac:dyDescent="0.25">
      <c r="A7" s="385" t="s">
        <v>690</v>
      </c>
      <c r="B7" s="386" t="s">
        <v>691</v>
      </c>
      <c r="C7" s="387">
        <v>13153</v>
      </c>
    </row>
    <row r="8" spans="1:3" ht="15.75" x14ac:dyDescent="0.25">
      <c r="A8" s="388" t="s">
        <v>692</v>
      </c>
      <c r="B8" s="389" t="s">
        <v>693</v>
      </c>
      <c r="C8" s="390">
        <v>17100</v>
      </c>
    </row>
    <row r="9" spans="1:3" ht="31.5" x14ac:dyDescent="0.25">
      <c r="A9" s="388" t="s">
        <v>694</v>
      </c>
      <c r="B9" s="389" t="s">
        <v>695</v>
      </c>
      <c r="C9" s="390">
        <v>1000</v>
      </c>
    </row>
    <row r="10" spans="1:3" ht="15.75" x14ac:dyDescent="0.25">
      <c r="A10" s="388" t="s">
        <v>696</v>
      </c>
      <c r="B10" s="389" t="s">
        <v>697</v>
      </c>
      <c r="C10" s="390">
        <v>3590</v>
      </c>
    </row>
    <row r="11" spans="1:3" ht="31.5" x14ac:dyDescent="0.25">
      <c r="A11" s="388" t="s">
        <v>698</v>
      </c>
      <c r="B11" s="386" t="s">
        <v>699</v>
      </c>
      <c r="C11" s="387">
        <v>11000</v>
      </c>
    </row>
    <row r="12" spans="1:3" ht="8.25" customHeight="1" x14ac:dyDescent="0.25">
      <c r="A12" s="381"/>
      <c r="B12" s="381"/>
      <c r="C12" s="381"/>
    </row>
    <row r="13" spans="1:3" ht="15.75" x14ac:dyDescent="0.25">
      <c r="A13" s="391" t="s">
        <v>700</v>
      </c>
      <c r="B13" s="381"/>
      <c r="C13" s="381"/>
    </row>
    <row r="14" spans="1:3" ht="15.75" x14ac:dyDescent="0.25">
      <c r="A14" s="391" t="s">
        <v>701</v>
      </c>
      <c r="B14" s="381"/>
      <c r="C14" s="381"/>
    </row>
    <row r="15" spans="1:3" ht="37.5" customHeight="1" x14ac:dyDescent="0.2">
      <c r="A15" s="670" t="s">
        <v>702</v>
      </c>
      <c r="B15" s="670"/>
      <c r="C15" s="670"/>
    </row>
    <row r="16" spans="1:3" ht="51" customHeight="1" x14ac:dyDescent="0.2">
      <c r="A16" s="670" t="s">
        <v>703</v>
      </c>
      <c r="B16" s="670"/>
      <c r="C16" s="670"/>
    </row>
    <row r="17" spans="1:3" ht="9.75" customHeight="1" x14ac:dyDescent="0.25">
      <c r="A17" s="391"/>
      <c r="B17" s="381"/>
      <c r="C17" s="381"/>
    </row>
    <row r="18" spans="1:3" ht="15.75" x14ac:dyDescent="0.25">
      <c r="A18" s="391" t="s">
        <v>704</v>
      </c>
      <c r="B18" s="381"/>
      <c r="C18" s="381"/>
    </row>
    <row r="19" spans="1:3" ht="8.25" customHeight="1" x14ac:dyDescent="0.25">
      <c r="B19" s="381"/>
      <c r="C19" s="381"/>
    </row>
    <row r="20" spans="1:3" x14ac:dyDescent="0.2">
      <c r="A20" s="672" t="s">
        <v>705</v>
      </c>
      <c r="B20" s="672"/>
      <c r="C20" s="672"/>
    </row>
    <row r="21" spans="1:3" ht="25.5" customHeight="1" x14ac:dyDescent="0.2">
      <c r="A21" s="670" t="s">
        <v>706</v>
      </c>
      <c r="B21" s="670"/>
      <c r="C21" s="670"/>
    </row>
    <row r="22" spans="1:3" x14ac:dyDescent="0.2">
      <c r="A22" s="8" t="s">
        <v>915</v>
      </c>
    </row>
    <row r="23" spans="1:3" ht="25.5" customHeight="1" x14ac:dyDescent="0.2">
      <c r="A23" s="670" t="s">
        <v>707</v>
      </c>
      <c r="B23" s="670"/>
      <c r="C23" s="670"/>
    </row>
    <row r="24" spans="1:3" x14ac:dyDescent="0.2">
      <c r="A24" s="670" t="s">
        <v>708</v>
      </c>
      <c r="B24" s="670"/>
      <c r="C24" s="670"/>
    </row>
    <row r="25" spans="1:3" x14ac:dyDescent="0.2">
      <c r="A25" s="670" t="s">
        <v>709</v>
      </c>
      <c r="B25" s="673"/>
      <c r="C25" s="673"/>
    </row>
    <row r="26" spans="1:3" x14ac:dyDescent="0.2">
      <c r="A26" s="670" t="s">
        <v>710</v>
      </c>
      <c r="B26" s="673"/>
      <c r="C26" s="673"/>
    </row>
    <row r="27" spans="1:3" x14ac:dyDescent="0.2">
      <c r="A27" s="392"/>
      <c r="B27" s="392"/>
      <c r="C27" s="392"/>
    </row>
    <row r="28" spans="1:3" x14ac:dyDescent="0.2">
      <c r="A28" s="393" t="s">
        <v>711</v>
      </c>
      <c r="B28" s="392"/>
      <c r="C28" s="392"/>
    </row>
    <row r="29" spans="1:3" ht="24.75" customHeight="1" x14ac:dyDescent="0.2">
      <c r="A29" s="670" t="s">
        <v>935</v>
      </c>
      <c r="B29" s="670"/>
      <c r="C29" s="670"/>
    </row>
    <row r="30" spans="1:3" x14ac:dyDescent="0.2">
      <c r="A30" s="392"/>
      <c r="B30" s="392"/>
      <c r="C30" s="392"/>
    </row>
    <row r="31" spans="1:3" x14ac:dyDescent="0.2">
      <c r="A31" s="394" t="s">
        <v>712</v>
      </c>
    </row>
    <row r="32" spans="1:3" x14ac:dyDescent="0.2">
      <c r="A32" s="670" t="s">
        <v>958</v>
      </c>
      <c r="B32" s="670"/>
      <c r="C32" s="670"/>
    </row>
    <row r="33" spans="1:3" x14ac:dyDescent="0.2">
      <c r="A33" s="8" t="s">
        <v>713</v>
      </c>
    </row>
    <row r="35" spans="1:3" x14ac:dyDescent="0.2">
      <c r="A35" s="391" t="s">
        <v>714</v>
      </c>
      <c r="B35" s="391"/>
      <c r="C35" s="391"/>
    </row>
    <row r="36" spans="1:3" ht="26.25" customHeight="1" x14ac:dyDescent="0.2">
      <c r="A36" s="670" t="s">
        <v>715</v>
      </c>
      <c r="B36" s="670"/>
      <c r="C36" s="670"/>
    </row>
    <row r="38" spans="1:3" x14ac:dyDescent="0.2">
      <c r="A38" s="391" t="s">
        <v>716</v>
      </c>
      <c r="B38" s="391"/>
      <c r="C38" s="391"/>
    </row>
    <row r="39" spans="1:3" x14ac:dyDescent="0.2">
      <c r="A39" s="391"/>
      <c r="B39" s="391"/>
      <c r="C39" s="391"/>
    </row>
    <row r="40" spans="1:3" x14ac:dyDescent="0.2">
      <c r="A40" s="395" t="s">
        <v>717</v>
      </c>
      <c r="B40" s="395" t="s">
        <v>718</v>
      </c>
      <c r="C40" s="395" t="s">
        <v>719</v>
      </c>
    </row>
    <row r="41" spans="1:3" ht="76.5" x14ac:dyDescent="0.2">
      <c r="A41" s="396" t="s">
        <v>720</v>
      </c>
      <c r="B41" s="396" t="s">
        <v>721</v>
      </c>
      <c r="C41" s="396" t="s">
        <v>722</v>
      </c>
    </row>
    <row r="42" spans="1:3" ht="76.5" x14ac:dyDescent="0.2">
      <c r="A42" s="396" t="s">
        <v>723</v>
      </c>
      <c r="B42" s="396" t="s">
        <v>724</v>
      </c>
      <c r="C42" s="396" t="s">
        <v>725</v>
      </c>
    </row>
    <row r="43" spans="1:3" ht="127.5" x14ac:dyDescent="0.2">
      <c r="A43" s="10" t="s">
        <v>726</v>
      </c>
      <c r="B43" s="396" t="s">
        <v>727</v>
      </c>
      <c r="C43" s="396" t="s">
        <v>728</v>
      </c>
    </row>
    <row r="44" spans="1:3" ht="51" x14ac:dyDescent="0.2">
      <c r="A44" s="396" t="s">
        <v>729</v>
      </c>
      <c r="B44" s="396" t="s">
        <v>730</v>
      </c>
      <c r="C44" s="396" t="s">
        <v>731</v>
      </c>
    </row>
    <row r="45" spans="1:3" ht="25.5" x14ac:dyDescent="0.2">
      <c r="A45" s="396" t="s">
        <v>732</v>
      </c>
      <c r="B45" s="396" t="s">
        <v>733</v>
      </c>
      <c r="C45" s="10" t="s">
        <v>734</v>
      </c>
    </row>
    <row r="46" spans="1:3" ht="51" x14ac:dyDescent="0.2">
      <c r="A46" s="10" t="s">
        <v>735</v>
      </c>
      <c r="B46" s="396" t="s">
        <v>736</v>
      </c>
      <c r="C46" s="10" t="s">
        <v>737</v>
      </c>
    </row>
    <row r="47" spans="1:3" ht="63.75" x14ac:dyDescent="0.2">
      <c r="A47" s="10" t="s">
        <v>738</v>
      </c>
      <c r="B47" s="396" t="s">
        <v>739</v>
      </c>
      <c r="C47" s="396" t="s">
        <v>725</v>
      </c>
    </row>
    <row r="48" spans="1:3" ht="51" x14ac:dyDescent="0.2">
      <c r="A48" s="10" t="s">
        <v>740</v>
      </c>
      <c r="B48" s="396" t="s">
        <v>741</v>
      </c>
      <c r="C48" s="396" t="s">
        <v>742</v>
      </c>
    </row>
    <row r="49" spans="1:3" ht="242.25" x14ac:dyDescent="0.2">
      <c r="A49" s="10" t="s">
        <v>743</v>
      </c>
      <c r="B49" s="396" t="s">
        <v>939</v>
      </c>
      <c r="C49" s="396" t="s">
        <v>744</v>
      </c>
    </row>
    <row r="50" spans="1:3" ht="38.25" x14ac:dyDescent="0.2">
      <c r="A50" s="396" t="s">
        <v>913</v>
      </c>
      <c r="B50" s="396" t="s">
        <v>914</v>
      </c>
      <c r="C50" s="397" t="s">
        <v>745</v>
      </c>
    </row>
    <row r="51" spans="1:3" ht="76.5" x14ac:dyDescent="0.2">
      <c r="A51" s="396" t="s">
        <v>746</v>
      </c>
      <c r="B51" s="396" t="s">
        <v>747</v>
      </c>
      <c r="C51" s="397" t="s">
        <v>748</v>
      </c>
    </row>
    <row r="52" spans="1:3" ht="76.5" x14ac:dyDescent="0.2">
      <c r="A52" s="10" t="s">
        <v>749</v>
      </c>
      <c r="B52" s="396" t="s">
        <v>750</v>
      </c>
      <c r="C52" s="396" t="s">
        <v>751</v>
      </c>
    </row>
    <row r="53" spans="1:3" ht="89.25" x14ac:dyDescent="0.2">
      <c r="A53" s="396" t="s">
        <v>752</v>
      </c>
      <c r="B53" s="396" t="s">
        <v>753</v>
      </c>
      <c r="C53" s="396" t="s">
        <v>754</v>
      </c>
    </row>
    <row r="54" spans="1:3" ht="51" x14ac:dyDescent="0.2">
      <c r="A54" s="398" t="s">
        <v>755</v>
      </c>
      <c r="B54" s="399" t="s">
        <v>756</v>
      </c>
      <c r="C54" s="400" t="s">
        <v>757</v>
      </c>
    </row>
    <row r="55" spans="1:3" ht="140.25" x14ac:dyDescent="0.2">
      <c r="A55" s="396" t="s">
        <v>758</v>
      </c>
      <c r="B55" s="396" t="s">
        <v>759</v>
      </c>
      <c r="C55" s="10" t="s">
        <v>760</v>
      </c>
    </row>
    <row r="56" spans="1:3" ht="51" x14ac:dyDescent="0.2">
      <c r="A56" s="10" t="s">
        <v>761</v>
      </c>
      <c r="B56" s="396" t="s">
        <v>762</v>
      </c>
      <c r="C56" s="10" t="s">
        <v>763</v>
      </c>
    </row>
    <row r="57" spans="1:3" ht="51" x14ac:dyDescent="0.2">
      <c r="A57" s="10" t="s">
        <v>764</v>
      </c>
      <c r="B57" s="396" t="s">
        <v>765</v>
      </c>
      <c r="C57" s="10" t="s">
        <v>766</v>
      </c>
    </row>
    <row r="58" spans="1:3" ht="89.25" x14ac:dyDescent="0.2">
      <c r="A58" s="396" t="s">
        <v>767</v>
      </c>
      <c r="B58" s="396" t="s">
        <v>768</v>
      </c>
      <c r="C58" s="396" t="s">
        <v>769</v>
      </c>
    </row>
  </sheetData>
  <mergeCells count="12">
    <mergeCell ref="A36:C36"/>
    <mergeCell ref="A1:C1"/>
    <mergeCell ref="A15:C15"/>
    <mergeCell ref="A16:C16"/>
    <mergeCell ref="A20:C20"/>
    <mergeCell ref="A21:C21"/>
    <mergeCell ref="A23:C23"/>
    <mergeCell ref="A24:C24"/>
    <mergeCell ref="A25:C25"/>
    <mergeCell ref="A26:C26"/>
    <mergeCell ref="A29:C29"/>
    <mergeCell ref="A32:C32"/>
  </mergeCells>
  <pageMargins left="0.7" right="0.7" top="0.75" bottom="0.75" header="0.3" footer="0.3"/>
  <pageSetup paperSize="9" scale="5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EF4A-AD85-46D7-BB32-4D601606A280}">
  <sheetPr>
    <pageSetUpPr fitToPage="1"/>
  </sheetPr>
  <dimension ref="A1:Q42"/>
  <sheetViews>
    <sheetView view="pageBreakPreview" topLeftCell="A12" zoomScaleNormal="100" zoomScaleSheetLayoutView="100" workbookViewId="0">
      <selection activeCell="B16" sqref="B15:B16"/>
    </sheetView>
  </sheetViews>
  <sheetFormatPr defaultColWidth="8" defaultRowHeight="12.75" x14ac:dyDescent="0.2"/>
  <cols>
    <col min="1" max="1" width="2.85546875" style="401" customWidth="1"/>
    <col min="2" max="2" width="32.42578125" style="401" bestFit="1" customWidth="1"/>
    <col min="3" max="3" width="9.85546875" style="401" bestFit="1" customWidth="1"/>
    <col min="4" max="4" width="8.85546875" style="401" bestFit="1" customWidth="1"/>
    <col min="5" max="5" width="12.5703125" style="401" customWidth="1"/>
    <col min="6" max="6" width="8.7109375" style="401" customWidth="1"/>
    <col min="7" max="7" width="12.28515625" style="401" customWidth="1"/>
    <col min="8" max="8" width="13.28515625" style="401" customWidth="1"/>
    <col min="9" max="9" width="9.7109375" style="401" customWidth="1"/>
    <col min="10" max="10" width="8.85546875" style="401" bestFit="1" customWidth="1"/>
    <col min="11" max="13" width="8.42578125" style="401" bestFit="1" customWidth="1"/>
    <col min="14" max="14" width="8.85546875" style="401" customWidth="1"/>
    <col min="15" max="15" width="13.42578125" style="401" customWidth="1"/>
    <col min="16" max="16" width="10.140625" style="401" bestFit="1" customWidth="1"/>
    <col min="17" max="17" width="8" style="402"/>
    <col min="18" max="256" width="8" style="401"/>
    <col min="257" max="257" width="2.85546875" style="401" customWidth="1"/>
    <col min="258" max="258" width="32.42578125" style="401" bestFit="1" customWidth="1"/>
    <col min="259" max="259" width="9.85546875" style="401" bestFit="1" customWidth="1"/>
    <col min="260" max="260" width="8.85546875" style="401" bestFit="1" customWidth="1"/>
    <col min="261" max="261" width="7.42578125" style="401" bestFit="1" customWidth="1"/>
    <col min="262" max="262" width="8.7109375" style="401" customWidth="1"/>
    <col min="263" max="263" width="8" style="401" bestFit="1" customWidth="1"/>
    <col min="264" max="265" width="7.42578125" style="401" bestFit="1" customWidth="1"/>
    <col min="266" max="266" width="8.85546875" style="401" bestFit="1" customWidth="1"/>
    <col min="267" max="270" width="8.42578125" style="401" bestFit="1" customWidth="1"/>
    <col min="271" max="271" width="8.85546875" style="401" customWidth="1"/>
    <col min="272" max="272" width="10.140625" style="401" bestFit="1" customWidth="1"/>
    <col min="273" max="512" width="8" style="401"/>
    <col min="513" max="513" width="2.85546875" style="401" customWidth="1"/>
    <col min="514" max="514" width="32.42578125" style="401" bestFit="1" customWidth="1"/>
    <col min="515" max="515" width="9.85546875" style="401" bestFit="1" customWidth="1"/>
    <col min="516" max="516" width="8.85546875" style="401" bestFit="1" customWidth="1"/>
    <col min="517" max="517" width="7.42578125" style="401" bestFit="1" customWidth="1"/>
    <col min="518" max="518" width="8.7109375" style="401" customWidth="1"/>
    <col min="519" max="519" width="8" style="401" bestFit="1" customWidth="1"/>
    <col min="520" max="521" width="7.42578125" style="401" bestFit="1" customWidth="1"/>
    <col min="522" max="522" width="8.85546875" style="401" bestFit="1" customWidth="1"/>
    <col min="523" max="526" width="8.42578125" style="401" bestFit="1" customWidth="1"/>
    <col min="527" max="527" width="8.85546875" style="401" customWidth="1"/>
    <col min="528" max="528" width="10.140625" style="401" bestFit="1" customWidth="1"/>
    <col min="529" max="768" width="8" style="401"/>
    <col min="769" max="769" width="2.85546875" style="401" customWidth="1"/>
    <col min="770" max="770" width="32.42578125" style="401" bestFit="1" customWidth="1"/>
    <col min="771" max="771" width="9.85546875" style="401" bestFit="1" customWidth="1"/>
    <col min="772" max="772" width="8.85546875" style="401" bestFit="1" customWidth="1"/>
    <col min="773" max="773" width="7.42578125" style="401" bestFit="1" customWidth="1"/>
    <col min="774" max="774" width="8.7109375" style="401" customWidth="1"/>
    <col min="775" max="775" width="8" style="401" bestFit="1" customWidth="1"/>
    <col min="776" max="777" width="7.42578125" style="401" bestFit="1" customWidth="1"/>
    <col min="778" max="778" width="8.85546875" style="401" bestFit="1" customWidth="1"/>
    <col min="779" max="782" width="8.42578125" style="401" bestFit="1" customWidth="1"/>
    <col min="783" max="783" width="8.85546875" style="401" customWidth="1"/>
    <col min="784" max="784" width="10.140625" style="401" bestFit="1" customWidth="1"/>
    <col min="785" max="1024" width="8" style="401"/>
    <col min="1025" max="1025" width="2.85546875" style="401" customWidth="1"/>
    <col min="1026" max="1026" width="32.42578125" style="401" bestFit="1" customWidth="1"/>
    <col min="1027" max="1027" width="9.85546875" style="401" bestFit="1" customWidth="1"/>
    <col min="1028" max="1028" width="8.85546875" style="401" bestFit="1" customWidth="1"/>
    <col min="1029" max="1029" width="7.42578125" style="401" bestFit="1" customWidth="1"/>
    <col min="1030" max="1030" width="8.7109375" style="401" customWidth="1"/>
    <col min="1031" max="1031" width="8" style="401" bestFit="1" customWidth="1"/>
    <col min="1032" max="1033" width="7.42578125" style="401" bestFit="1" customWidth="1"/>
    <col min="1034" max="1034" width="8.85546875" style="401" bestFit="1" customWidth="1"/>
    <col min="1035" max="1038" width="8.42578125" style="401" bestFit="1" customWidth="1"/>
    <col min="1039" max="1039" width="8.85546875" style="401" customWidth="1"/>
    <col min="1040" max="1040" width="10.140625" style="401" bestFit="1" customWidth="1"/>
    <col min="1041" max="1280" width="8" style="401"/>
    <col min="1281" max="1281" width="2.85546875" style="401" customWidth="1"/>
    <col min="1282" max="1282" width="32.42578125" style="401" bestFit="1" customWidth="1"/>
    <col min="1283" max="1283" width="9.85546875" style="401" bestFit="1" customWidth="1"/>
    <col min="1284" max="1284" width="8.85546875" style="401" bestFit="1" customWidth="1"/>
    <col min="1285" max="1285" width="7.42578125" style="401" bestFit="1" customWidth="1"/>
    <col min="1286" max="1286" width="8.7109375" style="401" customWidth="1"/>
    <col min="1287" max="1287" width="8" style="401" bestFit="1" customWidth="1"/>
    <col min="1288" max="1289" width="7.42578125" style="401" bestFit="1" customWidth="1"/>
    <col min="1290" max="1290" width="8.85546875" style="401" bestFit="1" customWidth="1"/>
    <col min="1291" max="1294" width="8.42578125" style="401" bestFit="1" customWidth="1"/>
    <col min="1295" max="1295" width="8.85546875" style="401" customWidth="1"/>
    <col min="1296" max="1296" width="10.140625" style="401" bestFit="1" customWidth="1"/>
    <col min="1297" max="1536" width="8" style="401"/>
    <col min="1537" max="1537" width="2.85546875" style="401" customWidth="1"/>
    <col min="1538" max="1538" width="32.42578125" style="401" bestFit="1" customWidth="1"/>
    <col min="1539" max="1539" width="9.85546875" style="401" bestFit="1" customWidth="1"/>
    <col min="1540" max="1540" width="8.85546875" style="401" bestFit="1" customWidth="1"/>
    <col min="1541" max="1541" width="7.42578125" style="401" bestFit="1" customWidth="1"/>
    <col min="1542" max="1542" width="8.7109375" style="401" customWidth="1"/>
    <col min="1543" max="1543" width="8" style="401" bestFit="1" customWidth="1"/>
    <col min="1544" max="1545" width="7.42578125" style="401" bestFit="1" customWidth="1"/>
    <col min="1546" max="1546" width="8.85546875" style="401" bestFit="1" customWidth="1"/>
    <col min="1547" max="1550" width="8.42578125" style="401" bestFit="1" customWidth="1"/>
    <col min="1551" max="1551" width="8.85546875" style="401" customWidth="1"/>
    <col min="1552" max="1552" width="10.140625" style="401" bestFit="1" customWidth="1"/>
    <col min="1553" max="1792" width="8" style="401"/>
    <col min="1793" max="1793" width="2.85546875" style="401" customWidth="1"/>
    <col min="1794" max="1794" width="32.42578125" style="401" bestFit="1" customWidth="1"/>
    <col min="1795" max="1795" width="9.85546875" style="401" bestFit="1" customWidth="1"/>
    <col min="1796" max="1796" width="8.85546875" style="401" bestFit="1" customWidth="1"/>
    <col min="1797" max="1797" width="7.42578125" style="401" bestFit="1" customWidth="1"/>
    <col min="1798" max="1798" width="8.7109375" style="401" customWidth="1"/>
    <col min="1799" max="1799" width="8" style="401" bestFit="1" customWidth="1"/>
    <col min="1800" max="1801" width="7.42578125" style="401" bestFit="1" customWidth="1"/>
    <col min="1802" max="1802" width="8.85546875" style="401" bestFit="1" customWidth="1"/>
    <col min="1803" max="1806" width="8.42578125" style="401" bestFit="1" customWidth="1"/>
    <col min="1807" max="1807" width="8.85546875" style="401" customWidth="1"/>
    <col min="1808" max="1808" width="10.140625" style="401" bestFit="1" customWidth="1"/>
    <col min="1809" max="2048" width="8" style="401"/>
    <col min="2049" max="2049" width="2.85546875" style="401" customWidth="1"/>
    <col min="2050" max="2050" width="32.42578125" style="401" bestFit="1" customWidth="1"/>
    <col min="2051" max="2051" width="9.85546875" style="401" bestFit="1" customWidth="1"/>
    <col min="2052" max="2052" width="8.85546875" style="401" bestFit="1" customWidth="1"/>
    <col min="2053" max="2053" width="7.42578125" style="401" bestFit="1" customWidth="1"/>
    <col min="2054" max="2054" width="8.7109375" style="401" customWidth="1"/>
    <col min="2055" max="2055" width="8" style="401" bestFit="1" customWidth="1"/>
    <col min="2056" max="2057" width="7.42578125" style="401" bestFit="1" customWidth="1"/>
    <col min="2058" max="2058" width="8.85546875" style="401" bestFit="1" customWidth="1"/>
    <col min="2059" max="2062" width="8.42578125" style="401" bestFit="1" customWidth="1"/>
    <col min="2063" max="2063" width="8.85546875" style="401" customWidth="1"/>
    <col min="2064" max="2064" width="10.140625" style="401" bestFit="1" customWidth="1"/>
    <col min="2065" max="2304" width="8" style="401"/>
    <col min="2305" max="2305" width="2.85546875" style="401" customWidth="1"/>
    <col min="2306" max="2306" width="32.42578125" style="401" bestFit="1" customWidth="1"/>
    <col min="2307" max="2307" width="9.85546875" style="401" bestFit="1" customWidth="1"/>
    <col min="2308" max="2308" width="8.85546875" style="401" bestFit="1" customWidth="1"/>
    <col min="2309" max="2309" width="7.42578125" style="401" bestFit="1" customWidth="1"/>
    <col min="2310" max="2310" width="8.7109375" style="401" customWidth="1"/>
    <col min="2311" max="2311" width="8" style="401" bestFit="1" customWidth="1"/>
    <col min="2312" max="2313" width="7.42578125" style="401" bestFit="1" customWidth="1"/>
    <col min="2314" max="2314" width="8.85546875" style="401" bestFit="1" customWidth="1"/>
    <col min="2315" max="2318" width="8.42578125" style="401" bestFit="1" customWidth="1"/>
    <col min="2319" max="2319" width="8.85546875" style="401" customWidth="1"/>
    <col min="2320" max="2320" width="10.140625" style="401" bestFit="1" customWidth="1"/>
    <col min="2321" max="2560" width="8" style="401"/>
    <col min="2561" max="2561" width="2.85546875" style="401" customWidth="1"/>
    <col min="2562" max="2562" width="32.42578125" style="401" bestFit="1" customWidth="1"/>
    <col min="2563" max="2563" width="9.85546875" style="401" bestFit="1" customWidth="1"/>
    <col min="2564" max="2564" width="8.85546875" style="401" bestFit="1" customWidth="1"/>
    <col min="2565" max="2565" width="7.42578125" style="401" bestFit="1" customWidth="1"/>
    <col min="2566" max="2566" width="8.7109375" style="401" customWidth="1"/>
    <col min="2567" max="2567" width="8" style="401" bestFit="1" customWidth="1"/>
    <col min="2568" max="2569" width="7.42578125" style="401" bestFit="1" customWidth="1"/>
    <col min="2570" max="2570" width="8.85546875" style="401" bestFit="1" customWidth="1"/>
    <col min="2571" max="2574" width="8.42578125" style="401" bestFit="1" customWidth="1"/>
    <col min="2575" max="2575" width="8.85546875" style="401" customWidth="1"/>
    <col min="2576" max="2576" width="10.140625" style="401" bestFit="1" customWidth="1"/>
    <col min="2577" max="2816" width="8" style="401"/>
    <col min="2817" max="2817" width="2.85546875" style="401" customWidth="1"/>
    <col min="2818" max="2818" width="32.42578125" style="401" bestFit="1" customWidth="1"/>
    <col min="2819" max="2819" width="9.85546875" style="401" bestFit="1" customWidth="1"/>
    <col min="2820" max="2820" width="8.85546875" style="401" bestFit="1" customWidth="1"/>
    <col min="2821" max="2821" width="7.42578125" style="401" bestFit="1" customWidth="1"/>
    <col min="2822" max="2822" width="8.7109375" style="401" customWidth="1"/>
    <col min="2823" max="2823" width="8" style="401" bestFit="1" customWidth="1"/>
    <col min="2824" max="2825" width="7.42578125" style="401" bestFit="1" customWidth="1"/>
    <col min="2826" max="2826" width="8.85546875" style="401" bestFit="1" customWidth="1"/>
    <col min="2827" max="2830" width="8.42578125" style="401" bestFit="1" customWidth="1"/>
    <col min="2831" max="2831" width="8.85546875" style="401" customWidth="1"/>
    <col min="2832" max="2832" width="10.140625" style="401" bestFit="1" customWidth="1"/>
    <col min="2833" max="3072" width="8" style="401"/>
    <col min="3073" max="3073" width="2.85546875" style="401" customWidth="1"/>
    <col min="3074" max="3074" width="32.42578125" style="401" bestFit="1" customWidth="1"/>
    <col min="3075" max="3075" width="9.85546875" style="401" bestFit="1" customWidth="1"/>
    <col min="3076" max="3076" width="8.85546875" style="401" bestFit="1" customWidth="1"/>
    <col min="3077" max="3077" width="7.42578125" style="401" bestFit="1" customWidth="1"/>
    <col min="3078" max="3078" width="8.7109375" style="401" customWidth="1"/>
    <col min="3079" max="3079" width="8" style="401" bestFit="1" customWidth="1"/>
    <col min="3080" max="3081" width="7.42578125" style="401" bestFit="1" customWidth="1"/>
    <col min="3082" max="3082" width="8.85546875" style="401" bestFit="1" customWidth="1"/>
    <col min="3083" max="3086" width="8.42578125" style="401" bestFit="1" customWidth="1"/>
    <col min="3087" max="3087" width="8.85546875" style="401" customWidth="1"/>
    <col min="3088" max="3088" width="10.140625" style="401" bestFit="1" customWidth="1"/>
    <col min="3089" max="3328" width="8" style="401"/>
    <col min="3329" max="3329" width="2.85546875" style="401" customWidth="1"/>
    <col min="3330" max="3330" width="32.42578125" style="401" bestFit="1" customWidth="1"/>
    <col min="3331" max="3331" width="9.85546875" style="401" bestFit="1" customWidth="1"/>
    <col min="3332" max="3332" width="8.85546875" style="401" bestFit="1" customWidth="1"/>
    <col min="3333" max="3333" width="7.42578125" style="401" bestFit="1" customWidth="1"/>
    <col min="3334" max="3334" width="8.7109375" style="401" customWidth="1"/>
    <col min="3335" max="3335" width="8" style="401" bestFit="1" customWidth="1"/>
    <col min="3336" max="3337" width="7.42578125" style="401" bestFit="1" customWidth="1"/>
    <col min="3338" max="3338" width="8.85546875" style="401" bestFit="1" customWidth="1"/>
    <col min="3339" max="3342" width="8.42578125" style="401" bestFit="1" customWidth="1"/>
    <col min="3343" max="3343" width="8.85546875" style="401" customWidth="1"/>
    <col min="3344" max="3344" width="10.140625" style="401" bestFit="1" customWidth="1"/>
    <col min="3345" max="3584" width="8" style="401"/>
    <col min="3585" max="3585" width="2.85546875" style="401" customWidth="1"/>
    <col min="3586" max="3586" width="32.42578125" style="401" bestFit="1" customWidth="1"/>
    <col min="3587" max="3587" width="9.85546875" style="401" bestFit="1" customWidth="1"/>
    <col min="3588" max="3588" width="8.85546875" style="401" bestFit="1" customWidth="1"/>
    <col min="3589" max="3589" width="7.42578125" style="401" bestFit="1" customWidth="1"/>
    <col min="3590" max="3590" width="8.7109375" style="401" customWidth="1"/>
    <col min="3591" max="3591" width="8" style="401" bestFit="1" customWidth="1"/>
    <col min="3592" max="3593" width="7.42578125" style="401" bestFit="1" customWidth="1"/>
    <col min="3594" max="3594" width="8.85546875" style="401" bestFit="1" customWidth="1"/>
    <col min="3595" max="3598" width="8.42578125" style="401" bestFit="1" customWidth="1"/>
    <col min="3599" max="3599" width="8.85546875" style="401" customWidth="1"/>
    <col min="3600" max="3600" width="10.140625" style="401" bestFit="1" customWidth="1"/>
    <col min="3601" max="3840" width="8" style="401"/>
    <col min="3841" max="3841" width="2.85546875" style="401" customWidth="1"/>
    <col min="3842" max="3842" width="32.42578125" style="401" bestFit="1" customWidth="1"/>
    <col min="3843" max="3843" width="9.85546875" style="401" bestFit="1" customWidth="1"/>
    <col min="3844" max="3844" width="8.85546875" style="401" bestFit="1" customWidth="1"/>
    <col min="3845" max="3845" width="7.42578125" style="401" bestFit="1" customWidth="1"/>
    <col min="3846" max="3846" width="8.7109375" style="401" customWidth="1"/>
    <col min="3847" max="3847" width="8" style="401" bestFit="1" customWidth="1"/>
    <col min="3848" max="3849" width="7.42578125" style="401" bestFit="1" customWidth="1"/>
    <col min="3850" max="3850" width="8.85546875" style="401" bestFit="1" customWidth="1"/>
    <col min="3851" max="3854" width="8.42578125" style="401" bestFit="1" customWidth="1"/>
    <col min="3855" max="3855" width="8.85546875" style="401" customWidth="1"/>
    <col min="3856" max="3856" width="10.140625" style="401" bestFit="1" customWidth="1"/>
    <col min="3857" max="4096" width="8" style="401"/>
    <col min="4097" max="4097" width="2.85546875" style="401" customWidth="1"/>
    <col min="4098" max="4098" width="32.42578125" style="401" bestFit="1" customWidth="1"/>
    <col min="4099" max="4099" width="9.85546875" style="401" bestFit="1" customWidth="1"/>
    <col min="4100" max="4100" width="8.85546875" style="401" bestFit="1" customWidth="1"/>
    <col min="4101" max="4101" width="7.42578125" style="401" bestFit="1" customWidth="1"/>
    <col min="4102" max="4102" width="8.7109375" style="401" customWidth="1"/>
    <col min="4103" max="4103" width="8" style="401" bestFit="1" customWidth="1"/>
    <col min="4104" max="4105" width="7.42578125" style="401" bestFit="1" customWidth="1"/>
    <col min="4106" max="4106" width="8.85546875" style="401" bestFit="1" customWidth="1"/>
    <col min="4107" max="4110" width="8.42578125" style="401" bestFit="1" customWidth="1"/>
    <col min="4111" max="4111" width="8.85546875" style="401" customWidth="1"/>
    <col min="4112" max="4112" width="10.140625" style="401" bestFit="1" customWidth="1"/>
    <col min="4113" max="4352" width="8" style="401"/>
    <col min="4353" max="4353" width="2.85546875" style="401" customWidth="1"/>
    <col min="4354" max="4354" width="32.42578125" style="401" bestFit="1" customWidth="1"/>
    <col min="4355" max="4355" width="9.85546875" style="401" bestFit="1" customWidth="1"/>
    <col min="4356" max="4356" width="8.85546875" style="401" bestFit="1" customWidth="1"/>
    <col min="4357" max="4357" width="7.42578125" style="401" bestFit="1" customWidth="1"/>
    <col min="4358" max="4358" width="8.7109375" style="401" customWidth="1"/>
    <col min="4359" max="4359" width="8" style="401" bestFit="1" customWidth="1"/>
    <col min="4360" max="4361" width="7.42578125" style="401" bestFit="1" customWidth="1"/>
    <col min="4362" max="4362" width="8.85546875" style="401" bestFit="1" customWidth="1"/>
    <col min="4363" max="4366" width="8.42578125" style="401" bestFit="1" customWidth="1"/>
    <col min="4367" max="4367" width="8.85546875" style="401" customWidth="1"/>
    <col min="4368" max="4368" width="10.140625" style="401" bestFit="1" customWidth="1"/>
    <col min="4369" max="4608" width="8" style="401"/>
    <col min="4609" max="4609" width="2.85546875" style="401" customWidth="1"/>
    <col min="4610" max="4610" width="32.42578125" style="401" bestFit="1" customWidth="1"/>
    <col min="4611" max="4611" width="9.85546875" style="401" bestFit="1" customWidth="1"/>
    <col min="4612" max="4612" width="8.85546875" style="401" bestFit="1" customWidth="1"/>
    <col min="4613" max="4613" width="7.42578125" style="401" bestFit="1" customWidth="1"/>
    <col min="4614" max="4614" width="8.7109375" style="401" customWidth="1"/>
    <col min="4615" max="4615" width="8" style="401" bestFit="1" customWidth="1"/>
    <col min="4616" max="4617" width="7.42578125" style="401" bestFit="1" customWidth="1"/>
    <col min="4618" max="4618" width="8.85546875" style="401" bestFit="1" customWidth="1"/>
    <col min="4619" max="4622" width="8.42578125" style="401" bestFit="1" customWidth="1"/>
    <col min="4623" max="4623" width="8.85546875" style="401" customWidth="1"/>
    <col min="4624" max="4624" width="10.140625" style="401" bestFit="1" customWidth="1"/>
    <col min="4625" max="4864" width="8" style="401"/>
    <col min="4865" max="4865" width="2.85546875" style="401" customWidth="1"/>
    <col min="4866" max="4866" width="32.42578125" style="401" bestFit="1" customWidth="1"/>
    <col min="4867" max="4867" width="9.85546875" style="401" bestFit="1" customWidth="1"/>
    <col min="4868" max="4868" width="8.85546875" style="401" bestFit="1" customWidth="1"/>
    <col min="4869" max="4869" width="7.42578125" style="401" bestFit="1" customWidth="1"/>
    <col min="4870" max="4870" width="8.7109375" style="401" customWidth="1"/>
    <col min="4871" max="4871" width="8" style="401" bestFit="1" customWidth="1"/>
    <col min="4872" max="4873" width="7.42578125" style="401" bestFit="1" customWidth="1"/>
    <col min="4874" max="4874" width="8.85546875" style="401" bestFit="1" customWidth="1"/>
    <col min="4875" max="4878" width="8.42578125" style="401" bestFit="1" customWidth="1"/>
    <col min="4879" max="4879" width="8.85546875" style="401" customWidth="1"/>
    <col min="4880" max="4880" width="10.140625" style="401" bestFit="1" customWidth="1"/>
    <col min="4881" max="5120" width="8" style="401"/>
    <col min="5121" max="5121" width="2.85546875" style="401" customWidth="1"/>
    <col min="5122" max="5122" width="32.42578125" style="401" bestFit="1" customWidth="1"/>
    <col min="5123" max="5123" width="9.85546875" style="401" bestFit="1" customWidth="1"/>
    <col min="5124" max="5124" width="8.85546875" style="401" bestFit="1" customWidth="1"/>
    <col min="5125" max="5125" width="7.42578125" style="401" bestFit="1" customWidth="1"/>
    <col min="5126" max="5126" width="8.7109375" style="401" customWidth="1"/>
    <col min="5127" max="5127" width="8" style="401" bestFit="1" customWidth="1"/>
    <col min="5128" max="5129" width="7.42578125" style="401" bestFit="1" customWidth="1"/>
    <col min="5130" max="5130" width="8.85546875" style="401" bestFit="1" customWidth="1"/>
    <col min="5131" max="5134" width="8.42578125" style="401" bestFit="1" customWidth="1"/>
    <col min="5135" max="5135" width="8.85546875" style="401" customWidth="1"/>
    <col min="5136" max="5136" width="10.140625" style="401" bestFit="1" customWidth="1"/>
    <col min="5137" max="5376" width="8" style="401"/>
    <col min="5377" max="5377" width="2.85546875" style="401" customWidth="1"/>
    <col min="5378" max="5378" width="32.42578125" style="401" bestFit="1" customWidth="1"/>
    <col min="5379" max="5379" width="9.85546875" style="401" bestFit="1" customWidth="1"/>
    <col min="5380" max="5380" width="8.85546875" style="401" bestFit="1" customWidth="1"/>
    <col min="5381" max="5381" width="7.42578125" style="401" bestFit="1" customWidth="1"/>
    <col min="5382" max="5382" width="8.7109375" style="401" customWidth="1"/>
    <col min="5383" max="5383" width="8" style="401" bestFit="1" customWidth="1"/>
    <col min="5384" max="5385" width="7.42578125" style="401" bestFit="1" customWidth="1"/>
    <col min="5386" max="5386" width="8.85546875" style="401" bestFit="1" customWidth="1"/>
    <col min="5387" max="5390" width="8.42578125" style="401" bestFit="1" customWidth="1"/>
    <col min="5391" max="5391" width="8.85546875" style="401" customWidth="1"/>
    <col min="5392" max="5392" width="10.140625" style="401" bestFit="1" customWidth="1"/>
    <col min="5393" max="5632" width="8" style="401"/>
    <col min="5633" max="5633" width="2.85546875" style="401" customWidth="1"/>
    <col min="5634" max="5634" width="32.42578125" style="401" bestFit="1" customWidth="1"/>
    <col min="5635" max="5635" width="9.85546875" style="401" bestFit="1" customWidth="1"/>
    <col min="5636" max="5636" width="8.85546875" style="401" bestFit="1" customWidth="1"/>
    <col min="5637" max="5637" width="7.42578125" style="401" bestFit="1" customWidth="1"/>
    <col min="5638" max="5638" width="8.7109375" style="401" customWidth="1"/>
    <col min="5639" max="5639" width="8" style="401" bestFit="1" customWidth="1"/>
    <col min="5640" max="5641" width="7.42578125" style="401" bestFit="1" customWidth="1"/>
    <col min="5642" max="5642" width="8.85546875" style="401" bestFit="1" customWidth="1"/>
    <col min="5643" max="5646" width="8.42578125" style="401" bestFit="1" customWidth="1"/>
    <col min="5647" max="5647" width="8.85546875" style="401" customWidth="1"/>
    <col min="5648" max="5648" width="10.140625" style="401" bestFit="1" customWidth="1"/>
    <col min="5649" max="5888" width="8" style="401"/>
    <col min="5889" max="5889" width="2.85546875" style="401" customWidth="1"/>
    <col min="5890" max="5890" width="32.42578125" style="401" bestFit="1" customWidth="1"/>
    <col min="5891" max="5891" width="9.85546875" style="401" bestFit="1" customWidth="1"/>
    <col min="5892" max="5892" width="8.85546875" style="401" bestFit="1" customWidth="1"/>
    <col min="5893" max="5893" width="7.42578125" style="401" bestFit="1" customWidth="1"/>
    <col min="5894" max="5894" width="8.7109375" style="401" customWidth="1"/>
    <col min="5895" max="5895" width="8" style="401" bestFit="1" customWidth="1"/>
    <col min="5896" max="5897" width="7.42578125" style="401" bestFit="1" customWidth="1"/>
    <col min="5898" max="5898" width="8.85546875" style="401" bestFit="1" customWidth="1"/>
    <col min="5899" max="5902" width="8.42578125" style="401" bestFit="1" customWidth="1"/>
    <col min="5903" max="5903" width="8.85546875" style="401" customWidth="1"/>
    <col min="5904" max="5904" width="10.140625" style="401" bestFit="1" customWidth="1"/>
    <col min="5905" max="6144" width="8" style="401"/>
    <col min="6145" max="6145" width="2.85546875" style="401" customWidth="1"/>
    <col min="6146" max="6146" width="32.42578125" style="401" bestFit="1" customWidth="1"/>
    <col min="6147" max="6147" width="9.85546875" style="401" bestFit="1" customWidth="1"/>
    <col min="6148" max="6148" width="8.85546875" style="401" bestFit="1" customWidth="1"/>
    <col min="6149" max="6149" width="7.42578125" style="401" bestFit="1" customWidth="1"/>
    <col min="6150" max="6150" width="8.7109375" style="401" customWidth="1"/>
    <col min="6151" max="6151" width="8" style="401" bestFit="1" customWidth="1"/>
    <col min="6152" max="6153" width="7.42578125" style="401" bestFit="1" customWidth="1"/>
    <col min="6154" max="6154" width="8.85546875" style="401" bestFit="1" customWidth="1"/>
    <col min="6155" max="6158" width="8.42578125" style="401" bestFit="1" customWidth="1"/>
    <col min="6159" max="6159" width="8.85546875" style="401" customWidth="1"/>
    <col min="6160" max="6160" width="10.140625" style="401" bestFit="1" customWidth="1"/>
    <col min="6161" max="6400" width="8" style="401"/>
    <col min="6401" max="6401" width="2.85546875" style="401" customWidth="1"/>
    <col min="6402" max="6402" width="32.42578125" style="401" bestFit="1" customWidth="1"/>
    <col min="6403" max="6403" width="9.85546875" style="401" bestFit="1" customWidth="1"/>
    <col min="6404" max="6404" width="8.85546875" style="401" bestFit="1" customWidth="1"/>
    <col min="6405" max="6405" width="7.42578125" style="401" bestFit="1" customWidth="1"/>
    <col min="6406" max="6406" width="8.7109375" style="401" customWidth="1"/>
    <col min="6407" max="6407" width="8" style="401" bestFit="1" customWidth="1"/>
    <col min="6408" max="6409" width="7.42578125" style="401" bestFit="1" customWidth="1"/>
    <col min="6410" max="6410" width="8.85546875" style="401" bestFit="1" customWidth="1"/>
    <col min="6411" max="6414" width="8.42578125" style="401" bestFit="1" customWidth="1"/>
    <col min="6415" max="6415" width="8.85546875" style="401" customWidth="1"/>
    <col min="6416" max="6416" width="10.140625" style="401" bestFit="1" customWidth="1"/>
    <col min="6417" max="6656" width="8" style="401"/>
    <col min="6657" max="6657" width="2.85546875" style="401" customWidth="1"/>
    <col min="6658" max="6658" width="32.42578125" style="401" bestFit="1" customWidth="1"/>
    <col min="6659" max="6659" width="9.85546875" style="401" bestFit="1" customWidth="1"/>
    <col min="6660" max="6660" width="8.85546875" style="401" bestFit="1" customWidth="1"/>
    <col min="6661" max="6661" width="7.42578125" style="401" bestFit="1" customWidth="1"/>
    <col min="6662" max="6662" width="8.7109375" style="401" customWidth="1"/>
    <col min="6663" max="6663" width="8" style="401" bestFit="1" customWidth="1"/>
    <col min="6664" max="6665" width="7.42578125" style="401" bestFit="1" customWidth="1"/>
    <col min="6666" max="6666" width="8.85546875" style="401" bestFit="1" customWidth="1"/>
    <col min="6667" max="6670" width="8.42578125" style="401" bestFit="1" customWidth="1"/>
    <col min="6671" max="6671" width="8.85546875" style="401" customWidth="1"/>
    <col min="6672" max="6672" width="10.140625" style="401" bestFit="1" customWidth="1"/>
    <col min="6673" max="6912" width="8" style="401"/>
    <col min="6913" max="6913" width="2.85546875" style="401" customWidth="1"/>
    <col min="6914" max="6914" width="32.42578125" style="401" bestFit="1" customWidth="1"/>
    <col min="6915" max="6915" width="9.85546875" style="401" bestFit="1" customWidth="1"/>
    <col min="6916" max="6916" width="8.85546875" style="401" bestFit="1" customWidth="1"/>
    <col min="6917" max="6917" width="7.42578125" style="401" bestFit="1" customWidth="1"/>
    <col min="6918" max="6918" width="8.7109375" style="401" customWidth="1"/>
    <col min="6919" max="6919" width="8" style="401" bestFit="1" customWidth="1"/>
    <col min="6920" max="6921" width="7.42578125" style="401" bestFit="1" customWidth="1"/>
    <col min="6922" max="6922" width="8.85546875" style="401" bestFit="1" customWidth="1"/>
    <col min="6923" max="6926" width="8.42578125" style="401" bestFit="1" customWidth="1"/>
    <col min="6927" max="6927" width="8.85546875" style="401" customWidth="1"/>
    <col min="6928" max="6928" width="10.140625" style="401" bestFit="1" customWidth="1"/>
    <col min="6929" max="7168" width="8" style="401"/>
    <col min="7169" max="7169" width="2.85546875" style="401" customWidth="1"/>
    <col min="7170" max="7170" width="32.42578125" style="401" bestFit="1" customWidth="1"/>
    <col min="7171" max="7171" width="9.85546875" style="401" bestFit="1" customWidth="1"/>
    <col min="7172" max="7172" width="8.85546875" style="401" bestFit="1" customWidth="1"/>
    <col min="7173" max="7173" width="7.42578125" style="401" bestFit="1" customWidth="1"/>
    <col min="7174" max="7174" width="8.7109375" style="401" customWidth="1"/>
    <col min="7175" max="7175" width="8" style="401" bestFit="1" customWidth="1"/>
    <col min="7176" max="7177" width="7.42578125" style="401" bestFit="1" customWidth="1"/>
    <col min="7178" max="7178" width="8.85546875" style="401" bestFit="1" customWidth="1"/>
    <col min="7179" max="7182" width="8.42578125" style="401" bestFit="1" customWidth="1"/>
    <col min="7183" max="7183" width="8.85546875" style="401" customWidth="1"/>
    <col min="7184" max="7184" width="10.140625" style="401" bestFit="1" customWidth="1"/>
    <col min="7185" max="7424" width="8" style="401"/>
    <col min="7425" max="7425" width="2.85546875" style="401" customWidth="1"/>
    <col min="7426" max="7426" width="32.42578125" style="401" bestFit="1" customWidth="1"/>
    <col min="7427" max="7427" width="9.85546875" style="401" bestFit="1" customWidth="1"/>
    <col min="7428" max="7428" width="8.85546875" style="401" bestFit="1" customWidth="1"/>
    <col min="7429" max="7429" width="7.42578125" style="401" bestFit="1" customWidth="1"/>
    <col min="7430" max="7430" width="8.7109375" style="401" customWidth="1"/>
    <col min="7431" max="7431" width="8" style="401" bestFit="1" customWidth="1"/>
    <col min="7432" max="7433" width="7.42578125" style="401" bestFit="1" customWidth="1"/>
    <col min="7434" max="7434" width="8.85546875" style="401" bestFit="1" customWidth="1"/>
    <col min="7435" max="7438" width="8.42578125" style="401" bestFit="1" customWidth="1"/>
    <col min="7439" max="7439" width="8.85546875" style="401" customWidth="1"/>
    <col min="7440" max="7440" width="10.140625" style="401" bestFit="1" customWidth="1"/>
    <col min="7441" max="7680" width="8" style="401"/>
    <col min="7681" max="7681" width="2.85546875" style="401" customWidth="1"/>
    <col min="7682" max="7682" width="32.42578125" style="401" bestFit="1" customWidth="1"/>
    <col min="7683" max="7683" width="9.85546875" style="401" bestFit="1" customWidth="1"/>
    <col min="7684" max="7684" width="8.85546875" style="401" bestFit="1" customWidth="1"/>
    <col min="7685" max="7685" width="7.42578125" style="401" bestFit="1" customWidth="1"/>
    <col min="7686" max="7686" width="8.7109375" style="401" customWidth="1"/>
    <col min="7687" max="7687" width="8" style="401" bestFit="1" customWidth="1"/>
    <col min="7688" max="7689" width="7.42578125" style="401" bestFit="1" customWidth="1"/>
    <col min="7690" max="7690" width="8.85546875" style="401" bestFit="1" customWidth="1"/>
    <col min="7691" max="7694" width="8.42578125" style="401" bestFit="1" customWidth="1"/>
    <col min="7695" max="7695" width="8.85546875" style="401" customWidth="1"/>
    <col min="7696" max="7696" width="10.140625" style="401" bestFit="1" customWidth="1"/>
    <col min="7697" max="7936" width="8" style="401"/>
    <col min="7937" max="7937" width="2.85546875" style="401" customWidth="1"/>
    <col min="7938" max="7938" width="32.42578125" style="401" bestFit="1" customWidth="1"/>
    <col min="7939" max="7939" width="9.85546875" style="401" bestFit="1" customWidth="1"/>
    <col min="7940" max="7940" width="8.85546875" style="401" bestFit="1" customWidth="1"/>
    <col min="7941" max="7941" width="7.42578125" style="401" bestFit="1" customWidth="1"/>
    <col min="7942" max="7942" width="8.7109375" style="401" customWidth="1"/>
    <col min="7943" max="7943" width="8" style="401" bestFit="1" customWidth="1"/>
    <col min="7944" max="7945" width="7.42578125" style="401" bestFit="1" customWidth="1"/>
    <col min="7946" max="7946" width="8.85546875" style="401" bestFit="1" customWidth="1"/>
    <col min="7947" max="7950" width="8.42578125" style="401" bestFit="1" customWidth="1"/>
    <col min="7951" max="7951" width="8.85546875" style="401" customWidth="1"/>
    <col min="7952" max="7952" width="10.140625" style="401" bestFit="1" customWidth="1"/>
    <col min="7953" max="8192" width="8" style="401"/>
    <col min="8193" max="8193" width="2.85546875" style="401" customWidth="1"/>
    <col min="8194" max="8194" width="32.42578125" style="401" bestFit="1" customWidth="1"/>
    <col min="8195" max="8195" width="9.85546875" style="401" bestFit="1" customWidth="1"/>
    <col min="8196" max="8196" width="8.85546875" style="401" bestFit="1" customWidth="1"/>
    <col min="8197" max="8197" width="7.42578125" style="401" bestFit="1" customWidth="1"/>
    <col min="8198" max="8198" width="8.7109375" style="401" customWidth="1"/>
    <col min="8199" max="8199" width="8" style="401" bestFit="1" customWidth="1"/>
    <col min="8200" max="8201" width="7.42578125" style="401" bestFit="1" customWidth="1"/>
    <col min="8202" max="8202" width="8.85546875" style="401" bestFit="1" customWidth="1"/>
    <col min="8203" max="8206" width="8.42578125" style="401" bestFit="1" customWidth="1"/>
    <col min="8207" max="8207" width="8.85546875" style="401" customWidth="1"/>
    <col min="8208" max="8208" width="10.140625" style="401" bestFit="1" customWidth="1"/>
    <col min="8209" max="8448" width="8" style="401"/>
    <col min="8449" max="8449" width="2.85546875" style="401" customWidth="1"/>
    <col min="8450" max="8450" width="32.42578125" style="401" bestFit="1" customWidth="1"/>
    <col min="8451" max="8451" width="9.85546875" style="401" bestFit="1" customWidth="1"/>
    <col min="8452" max="8452" width="8.85546875" style="401" bestFit="1" customWidth="1"/>
    <col min="8453" max="8453" width="7.42578125" style="401" bestFit="1" customWidth="1"/>
    <col min="8454" max="8454" width="8.7109375" style="401" customWidth="1"/>
    <col min="8455" max="8455" width="8" style="401" bestFit="1" customWidth="1"/>
    <col min="8456" max="8457" width="7.42578125" style="401" bestFit="1" customWidth="1"/>
    <col min="8458" max="8458" width="8.85546875" style="401" bestFit="1" customWidth="1"/>
    <col min="8459" max="8462" width="8.42578125" style="401" bestFit="1" customWidth="1"/>
    <col min="8463" max="8463" width="8.85546875" style="401" customWidth="1"/>
    <col min="8464" max="8464" width="10.140625" style="401" bestFit="1" customWidth="1"/>
    <col min="8465" max="8704" width="8" style="401"/>
    <col min="8705" max="8705" width="2.85546875" style="401" customWidth="1"/>
    <col min="8706" max="8706" width="32.42578125" style="401" bestFit="1" customWidth="1"/>
    <col min="8707" max="8707" width="9.85546875" style="401" bestFit="1" customWidth="1"/>
    <col min="8708" max="8708" width="8.85546875" style="401" bestFit="1" customWidth="1"/>
    <col min="8709" max="8709" width="7.42578125" style="401" bestFit="1" customWidth="1"/>
    <col min="8710" max="8710" width="8.7109375" style="401" customWidth="1"/>
    <col min="8711" max="8711" width="8" style="401" bestFit="1" customWidth="1"/>
    <col min="8712" max="8713" width="7.42578125" style="401" bestFit="1" customWidth="1"/>
    <col min="8714" max="8714" width="8.85546875" style="401" bestFit="1" customWidth="1"/>
    <col min="8715" max="8718" width="8.42578125" style="401" bestFit="1" customWidth="1"/>
    <col min="8719" max="8719" width="8.85546875" style="401" customWidth="1"/>
    <col min="8720" max="8720" width="10.140625" style="401" bestFit="1" customWidth="1"/>
    <col min="8721" max="8960" width="8" style="401"/>
    <col min="8961" max="8961" width="2.85546875" style="401" customWidth="1"/>
    <col min="8962" max="8962" width="32.42578125" style="401" bestFit="1" customWidth="1"/>
    <col min="8963" max="8963" width="9.85546875" style="401" bestFit="1" customWidth="1"/>
    <col min="8964" max="8964" width="8.85546875" style="401" bestFit="1" customWidth="1"/>
    <col min="8965" max="8965" width="7.42578125" style="401" bestFit="1" customWidth="1"/>
    <col min="8966" max="8966" width="8.7109375" style="401" customWidth="1"/>
    <col min="8967" max="8967" width="8" style="401" bestFit="1" customWidth="1"/>
    <col min="8968" max="8969" width="7.42578125" style="401" bestFit="1" customWidth="1"/>
    <col min="8970" max="8970" width="8.85546875" style="401" bestFit="1" customWidth="1"/>
    <col min="8971" max="8974" width="8.42578125" style="401" bestFit="1" customWidth="1"/>
    <col min="8975" max="8975" width="8.85546875" style="401" customWidth="1"/>
    <col min="8976" max="8976" width="10.140625" style="401" bestFit="1" customWidth="1"/>
    <col min="8977" max="9216" width="8" style="401"/>
    <col min="9217" max="9217" width="2.85546875" style="401" customWidth="1"/>
    <col min="9218" max="9218" width="32.42578125" style="401" bestFit="1" customWidth="1"/>
    <col min="9219" max="9219" width="9.85546875" style="401" bestFit="1" customWidth="1"/>
    <col min="9220" max="9220" width="8.85546875" style="401" bestFit="1" customWidth="1"/>
    <col min="9221" max="9221" width="7.42578125" style="401" bestFit="1" customWidth="1"/>
    <col min="9222" max="9222" width="8.7109375" style="401" customWidth="1"/>
    <col min="9223" max="9223" width="8" style="401" bestFit="1" customWidth="1"/>
    <col min="9224" max="9225" width="7.42578125" style="401" bestFit="1" customWidth="1"/>
    <col min="9226" max="9226" width="8.85546875" style="401" bestFit="1" customWidth="1"/>
    <col min="9227" max="9230" width="8.42578125" style="401" bestFit="1" customWidth="1"/>
    <col min="9231" max="9231" width="8.85546875" style="401" customWidth="1"/>
    <col min="9232" max="9232" width="10.140625" style="401" bestFit="1" customWidth="1"/>
    <col min="9233" max="9472" width="8" style="401"/>
    <col min="9473" max="9473" width="2.85546875" style="401" customWidth="1"/>
    <col min="9474" max="9474" width="32.42578125" style="401" bestFit="1" customWidth="1"/>
    <col min="9475" max="9475" width="9.85546875" style="401" bestFit="1" customWidth="1"/>
    <col min="9476" max="9476" width="8.85546875" style="401" bestFit="1" customWidth="1"/>
    <col min="9477" max="9477" width="7.42578125" style="401" bestFit="1" customWidth="1"/>
    <col min="9478" max="9478" width="8.7109375" style="401" customWidth="1"/>
    <col min="9479" max="9479" width="8" style="401" bestFit="1" customWidth="1"/>
    <col min="9480" max="9481" width="7.42578125" style="401" bestFit="1" customWidth="1"/>
    <col min="9482" max="9482" width="8.85546875" style="401" bestFit="1" customWidth="1"/>
    <col min="9483" max="9486" width="8.42578125" style="401" bestFit="1" customWidth="1"/>
    <col min="9487" max="9487" width="8.85546875" style="401" customWidth="1"/>
    <col min="9488" max="9488" width="10.140625" style="401" bestFit="1" customWidth="1"/>
    <col min="9489" max="9728" width="8" style="401"/>
    <col min="9729" max="9729" width="2.85546875" style="401" customWidth="1"/>
    <col min="9730" max="9730" width="32.42578125" style="401" bestFit="1" customWidth="1"/>
    <col min="9731" max="9731" width="9.85546875" style="401" bestFit="1" customWidth="1"/>
    <col min="9732" max="9732" width="8.85546875" style="401" bestFit="1" customWidth="1"/>
    <col min="9733" max="9733" width="7.42578125" style="401" bestFit="1" customWidth="1"/>
    <col min="9734" max="9734" width="8.7109375" style="401" customWidth="1"/>
    <col min="9735" max="9735" width="8" style="401" bestFit="1" customWidth="1"/>
    <col min="9736" max="9737" width="7.42578125" style="401" bestFit="1" customWidth="1"/>
    <col min="9738" max="9738" width="8.85546875" style="401" bestFit="1" customWidth="1"/>
    <col min="9739" max="9742" width="8.42578125" style="401" bestFit="1" customWidth="1"/>
    <col min="9743" max="9743" width="8.85546875" style="401" customWidth="1"/>
    <col min="9744" max="9744" width="10.140625" style="401" bestFit="1" customWidth="1"/>
    <col min="9745" max="9984" width="8" style="401"/>
    <col min="9985" max="9985" width="2.85546875" style="401" customWidth="1"/>
    <col min="9986" max="9986" width="32.42578125" style="401" bestFit="1" customWidth="1"/>
    <col min="9987" max="9987" width="9.85546875" style="401" bestFit="1" customWidth="1"/>
    <col min="9988" max="9988" width="8.85546875" style="401" bestFit="1" customWidth="1"/>
    <col min="9989" max="9989" width="7.42578125" style="401" bestFit="1" customWidth="1"/>
    <col min="9990" max="9990" width="8.7109375" style="401" customWidth="1"/>
    <col min="9991" max="9991" width="8" style="401" bestFit="1" customWidth="1"/>
    <col min="9992" max="9993" width="7.42578125" style="401" bestFit="1" customWidth="1"/>
    <col min="9994" max="9994" width="8.85546875" style="401" bestFit="1" customWidth="1"/>
    <col min="9995" max="9998" width="8.42578125" style="401" bestFit="1" customWidth="1"/>
    <col min="9999" max="9999" width="8.85546875" style="401" customWidth="1"/>
    <col min="10000" max="10000" width="10.140625" style="401" bestFit="1" customWidth="1"/>
    <col min="10001" max="10240" width="8" style="401"/>
    <col min="10241" max="10241" width="2.85546875" style="401" customWidth="1"/>
    <col min="10242" max="10242" width="32.42578125" style="401" bestFit="1" customWidth="1"/>
    <col min="10243" max="10243" width="9.85546875" style="401" bestFit="1" customWidth="1"/>
    <col min="10244" max="10244" width="8.85546875" style="401" bestFit="1" customWidth="1"/>
    <col min="10245" max="10245" width="7.42578125" style="401" bestFit="1" customWidth="1"/>
    <col min="10246" max="10246" width="8.7109375" style="401" customWidth="1"/>
    <col min="10247" max="10247" width="8" style="401" bestFit="1" customWidth="1"/>
    <col min="10248" max="10249" width="7.42578125" style="401" bestFit="1" customWidth="1"/>
    <col min="10250" max="10250" width="8.85546875" style="401" bestFit="1" customWidth="1"/>
    <col min="10251" max="10254" width="8.42578125" style="401" bestFit="1" customWidth="1"/>
    <col min="10255" max="10255" width="8.85546875" style="401" customWidth="1"/>
    <col min="10256" max="10256" width="10.140625" style="401" bestFit="1" customWidth="1"/>
    <col min="10257" max="10496" width="8" style="401"/>
    <col min="10497" max="10497" width="2.85546875" style="401" customWidth="1"/>
    <col min="10498" max="10498" width="32.42578125" style="401" bestFit="1" customWidth="1"/>
    <col min="10499" max="10499" width="9.85546875" style="401" bestFit="1" customWidth="1"/>
    <col min="10500" max="10500" width="8.85546875" style="401" bestFit="1" customWidth="1"/>
    <col min="10501" max="10501" width="7.42578125" style="401" bestFit="1" customWidth="1"/>
    <col min="10502" max="10502" width="8.7109375" style="401" customWidth="1"/>
    <col min="10503" max="10503" width="8" style="401" bestFit="1" customWidth="1"/>
    <col min="10504" max="10505" width="7.42578125" style="401" bestFit="1" customWidth="1"/>
    <col min="10506" max="10506" width="8.85546875" style="401" bestFit="1" customWidth="1"/>
    <col min="10507" max="10510" width="8.42578125" style="401" bestFit="1" customWidth="1"/>
    <col min="10511" max="10511" width="8.85546875" style="401" customWidth="1"/>
    <col min="10512" max="10512" width="10.140625" style="401" bestFit="1" customWidth="1"/>
    <col min="10513" max="10752" width="8" style="401"/>
    <col min="10753" max="10753" width="2.85546875" style="401" customWidth="1"/>
    <col min="10754" max="10754" width="32.42578125" style="401" bestFit="1" customWidth="1"/>
    <col min="10755" max="10755" width="9.85546875" style="401" bestFit="1" customWidth="1"/>
    <col min="10756" max="10756" width="8.85546875" style="401" bestFit="1" customWidth="1"/>
    <col min="10757" max="10757" width="7.42578125" style="401" bestFit="1" customWidth="1"/>
    <col min="10758" max="10758" width="8.7109375" style="401" customWidth="1"/>
    <col min="10759" max="10759" width="8" style="401" bestFit="1" customWidth="1"/>
    <col min="10760" max="10761" width="7.42578125" style="401" bestFit="1" customWidth="1"/>
    <col min="10762" max="10762" width="8.85546875" style="401" bestFit="1" customWidth="1"/>
    <col min="10763" max="10766" width="8.42578125" style="401" bestFit="1" customWidth="1"/>
    <col min="10767" max="10767" width="8.85546875" style="401" customWidth="1"/>
    <col min="10768" max="10768" width="10.140625" style="401" bestFit="1" customWidth="1"/>
    <col min="10769" max="11008" width="8" style="401"/>
    <col min="11009" max="11009" width="2.85546875" style="401" customWidth="1"/>
    <col min="11010" max="11010" width="32.42578125" style="401" bestFit="1" customWidth="1"/>
    <col min="11011" max="11011" width="9.85546875" style="401" bestFit="1" customWidth="1"/>
    <col min="11012" max="11012" width="8.85546875" style="401" bestFit="1" customWidth="1"/>
    <col min="11013" max="11013" width="7.42578125" style="401" bestFit="1" customWidth="1"/>
    <col min="11014" max="11014" width="8.7109375" style="401" customWidth="1"/>
    <col min="11015" max="11015" width="8" style="401" bestFit="1" customWidth="1"/>
    <col min="11016" max="11017" width="7.42578125" style="401" bestFit="1" customWidth="1"/>
    <col min="11018" max="11018" width="8.85546875" style="401" bestFit="1" customWidth="1"/>
    <col min="11019" max="11022" width="8.42578125" style="401" bestFit="1" customWidth="1"/>
    <col min="11023" max="11023" width="8.85546875" style="401" customWidth="1"/>
    <col min="11024" max="11024" width="10.140625" style="401" bestFit="1" customWidth="1"/>
    <col min="11025" max="11264" width="8" style="401"/>
    <col min="11265" max="11265" width="2.85546875" style="401" customWidth="1"/>
    <col min="11266" max="11266" width="32.42578125" style="401" bestFit="1" customWidth="1"/>
    <col min="11267" max="11267" width="9.85546875" style="401" bestFit="1" customWidth="1"/>
    <col min="11268" max="11268" width="8.85546875" style="401" bestFit="1" customWidth="1"/>
    <col min="11269" max="11269" width="7.42578125" style="401" bestFit="1" customWidth="1"/>
    <col min="11270" max="11270" width="8.7109375" style="401" customWidth="1"/>
    <col min="11271" max="11271" width="8" style="401" bestFit="1" customWidth="1"/>
    <col min="11272" max="11273" width="7.42578125" style="401" bestFit="1" customWidth="1"/>
    <col min="11274" max="11274" width="8.85546875" style="401" bestFit="1" customWidth="1"/>
    <col min="11275" max="11278" width="8.42578125" style="401" bestFit="1" customWidth="1"/>
    <col min="11279" max="11279" width="8.85546875" style="401" customWidth="1"/>
    <col min="11280" max="11280" width="10.140625" style="401" bestFit="1" customWidth="1"/>
    <col min="11281" max="11520" width="8" style="401"/>
    <col min="11521" max="11521" width="2.85546875" style="401" customWidth="1"/>
    <col min="11522" max="11522" width="32.42578125" style="401" bestFit="1" customWidth="1"/>
    <col min="11523" max="11523" width="9.85546875" style="401" bestFit="1" customWidth="1"/>
    <col min="11524" max="11524" width="8.85546875" style="401" bestFit="1" customWidth="1"/>
    <col min="11525" max="11525" width="7.42578125" style="401" bestFit="1" customWidth="1"/>
    <col min="11526" max="11526" width="8.7109375" style="401" customWidth="1"/>
    <col min="11527" max="11527" width="8" style="401" bestFit="1" customWidth="1"/>
    <col min="11528" max="11529" width="7.42578125" style="401" bestFit="1" customWidth="1"/>
    <col min="11530" max="11530" width="8.85546875" style="401" bestFit="1" customWidth="1"/>
    <col min="11531" max="11534" width="8.42578125" style="401" bestFit="1" customWidth="1"/>
    <col min="11535" max="11535" width="8.85546875" style="401" customWidth="1"/>
    <col min="11536" max="11536" width="10.140625" style="401" bestFit="1" customWidth="1"/>
    <col min="11537" max="11776" width="8" style="401"/>
    <col min="11777" max="11777" width="2.85546875" style="401" customWidth="1"/>
    <col min="11778" max="11778" width="32.42578125" style="401" bestFit="1" customWidth="1"/>
    <col min="11779" max="11779" width="9.85546875" style="401" bestFit="1" customWidth="1"/>
    <col min="11780" max="11780" width="8.85546875" style="401" bestFit="1" customWidth="1"/>
    <col min="11781" max="11781" width="7.42578125" style="401" bestFit="1" customWidth="1"/>
    <col min="11782" max="11782" width="8.7109375" style="401" customWidth="1"/>
    <col min="11783" max="11783" width="8" style="401" bestFit="1" customWidth="1"/>
    <col min="11784" max="11785" width="7.42578125" style="401" bestFit="1" customWidth="1"/>
    <col min="11786" max="11786" width="8.85546875" style="401" bestFit="1" customWidth="1"/>
    <col min="11787" max="11790" width="8.42578125" style="401" bestFit="1" customWidth="1"/>
    <col min="11791" max="11791" width="8.85546875" style="401" customWidth="1"/>
    <col min="11792" max="11792" width="10.140625" style="401" bestFit="1" customWidth="1"/>
    <col min="11793" max="12032" width="8" style="401"/>
    <col min="12033" max="12033" width="2.85546875" style="401" customWidth="1"/>
    <col min="12034" max="12034" width="32.42578125" style="401" bestFit="1" customWidth="1"/>
    <col min="12035" max="12035" width="9.85546875" style="401" bestFit="1" customWidth="1"/>
    <col min="12036" max="12036" width="8.85546875" style="401" bestFit="1" customWidth="1"/>
    <col min="12037" max="12037" width="7.42578125" style="401" bestFit="1" customWidth="1"/>
    <col min="12038" max="12038" width="8.7109375" style="401" customWidth="1"/>
    <col min="12039" max="12039" width="8" style="401" bestFit="1" customWidth="1"/>
    <col min="12040" max="12041" width="7.42578125" style="401" bestFit="1" customWidth="1"/>
    <col min="12042" max="12042" width="8.85546875" style="401" bestFit="1" customWidth="1"/>
    <col min="12043" max="12046" width="8.42578125" style="401" bestFit="1" customWidth="1"/>
    <col min="12047" max="12047" width="8.85546875" style="401" customWidth="1"/>
    <col min="12048" max="12048" width="10.140625" style="401" bestFit="1" customWidth="1"/>
    <col min="12049" max="12288" width="8" style="401"/>
    <col min="12289" max="12289" width="2.85546875" style="401" customWidth="1"/>
    <col min="12290" max="12290" width="32.42578125" style="401" bestFit="1" customWidth="1"/>
    <col min="12291" max="12291" width="9.85546875" style="401" bestFit="1" customWidth="1"/>
    <col min="12292" max="12292" width="8.85546875" style="401" bestFit="1" customWidth="1"/>
    <col min="12293" max="12293" width="7.42578125" style="401" bestFit="1" customWidth="1"/>
    <col min="12294" max="12294" width="8.7109375" style="401" customWidth="1"/>
    <col min="12295" max="12295" width="8" style="401" bestFit="1" customWidth="1"/>
    <col min="12296" max="12297" width="7.42578125" style="401" bestFit="1" customWidth="1"/>
    <col min="12298" max="12298" width="8.85546875" style="401" bestFit="1" customWidth="1"/>
    <col min="12299" max="12302" width="8.42578125" style="401" bestFit="1" customWidth="1"/>
    <col min="12303" max="12303" width="8.85546875" style="401" customWidth="1"/>
    <col min="12304" max="12304" width="10.140625" style="401" bestFit="1" customWidth="1"/>
    <col min="12305" max="12544" width="8" style="401"/>
    <col min="12545" max="12545" width="2.85546875" style="401" customWidth="1"/>
    <col min="12546" max="12546" width="32.42578125" style="401" bestFit="1" customWidth="1"/>
    <col min="12547" max="12547" width="9.85546875" style="401" bestFit="1" customWidth="1"/>
    <col min="12548" max="12548" width="8.85546875" style="401" bestFit="1" customWidth="1"/>
    <col min="12549" max="12549" width="7.42578125" style="401" bestFit="1" customWidth="1"/>
    <col min="12550" max="12550" width="8.7109375" style="401" customWidth="1"/>
    <col min="12551" max="12551" width="8" style="401" bestFit="1" customWidth="1"/>
    <col min="12552" max="12553" width="7.42578125" style="401" bestFit="1" customWidth="1"/>
    <col min="12554" max="12554" width="8.85546875" style="401" bestFit="1" customWidth="1"/>
    <col min="12555" max="12558" width="8.42578125" style="401" bestFit="1" customWidth="1"/>
    <col min="12559" max="12559" width="8.85546875" style="401" customWidth="1"/>
    <col min="12560" max="12560" width="10.140625" style="401" bestFit="1" customWidth="1"/>
    <col min="12561" max="12800" width="8" style="401"/>
    <col min="12801" max="12801" width="2.85546875" style="401" customWidth="1"/>
    <col min="12802" max="12802" width="32.42578125" style="401" bestFit="1" customWidth="1"/>
    <col min="12803" max="12803" width="9.85546875" style="401" bestFit="1" customWidth="1"/>
    <col min="12804" max="12804" width="8.85546875" style="401" bestFit="1" customWidth="1"/>
    <col min="12805" max="12805" width="7.42578125" style="401" bestFit="1" customWidth="1"/>
    <col min="12806" max="12806" width="8.7109375" style="401" customWidth="1"/>
    <col min="12807" max="12807" width="8" style="401" bestFit="1" customWidth="1"/>
    <col min="12808" max="12809" width="7.42578125" style="401" bestFit="1" customWidth="1"/>
    <col min="12810" max="12810" width="8.85546875" style="401" bestFit="1" customWidth="1"/>
    <col min="12811" max="12814" width="8.42578125" style="401" bestFit="1" customWidth="1"/>
    <col min="12815" max="12815" width="8.85546875" style="401" customWidth="1"/>
    <col min="12816" max="12816" width="10.140625" style="401" bestFit="1" customWidth="1"/>
    <col min="12817" max="13056" width="8" style="401"/>
    <col min="13057" max="13057" width="2.85546875" style="401" customWidth="1"/>
    <col min="13058" max="13058" width="32.42578125" style="401" bestFit="1" customWidth="1"/>
    <col min="13059" max="13059" width="9.85546875" style="401" bestFit="1" customWidth="1"/>
    <col min="13060" max="13060" width="8.85546875" style="401" bestFit="1" customWidth="1"/>
    <col min="13061" max="13061" width="7.42578125" style="401" bestFit="1" customWidth="1"/>
    <col min="13062" max="13062" width="8.7109375" style="401" customWidth="1"/>
    <col min="13063" max="13063" width="8" style="401" bestFit="1" customWidth="1"/>
    <col min="13064" max="13065" width="7.42578125" style="401" bestFit="1" customWidth="1"/>
    <col min="13066" max="13066" width="8.85546875" style="401" bestFit="1" customWidth="1"/>
    <col min="13067" max="13070" width="8.42578125" style="401" bestFit="1" customWidth="1"/>
    <col min="13071" max="13071" width="8.85546875" style="401" customWidth="1"/>
    <col min="13072" max="13072" width="10.140625" style="401" bestFit="1" customWidth="1"/>
    <col min="13073" max="13312" width="8" style="401"/>
    <col min="13313" max="13313" width="2.85546875" style="401" customWidth="1"/>
    <col min="13314" max="13314" width="32.42578125" style="401" bestFit="1" customWidth="1"/>
    <col min="13315" max="13315" width="9.85546875" style="401" bestFit="1" customWidth="1"/>
    <col min="13316" max="13316" width="8.85546875" style="401" bestFit="1" customWidth="1"/>
    <col min="13317" max="13317" width="7.42578125" style="401" bestFit="1" customWidth="1"/>
    <col min="13318" max="13318" width="8.7109375" style="401" customWidth="1"/>
    <col min="13319" max="13319" width="8" style="401" bestFit="1" customWidth="1"/>
    <col min="13320" max="13321" width="7.42578125" style="401" bestFit="1" customWidth="1"/>
    <col min="13322" max="13322" width="8.85546875" style="401" bestFit="1" customWidth="1"/>
    <col min="13323" max="13326" width="8.42578125" style="401" bestFit="1" customWidth="1"/>
    <col min="13327" max="13327" width="8.85546875" style="401" customWidth="1"/>
    <col min="13328" max="13328" width="10.140625" style="401" bestFit="1" customWidth="1"/>
    <col min="13329" max="13568" width="8" style="401"/>
    <col min="13569" max="13569" width="2.85546875" style="401" customWidth="1"/>
    <col min="13570" max="13570" width="32.42578125" style="401" bestFit="1" customWidth="1"/>
    <col min="13571" max="13571" width="9.85546875" style="401" bestFit="1" customWidth="1"/>
    <col min="13572" max="13572" width="8.85546875" style="401" bestFit="1" customWidth="1"/>
    <col min="13573" max="13573" width="7.42578125" style="401" bestFit="1" customWidth="1"/>
    <col min="13574" max="13574" width="8.7109375" style="401" customWidth="1"/>
    <col min="13575" max="13575" width="8" style="401" bestFit="1" customWidth="1"/>
    <col min="13576" max="13577" width="7.42578125" style="401" bestFit="1" customWidth="1"/>
    <col min="13578" max="13578" width="8.85546875" style="401" bestFit="1" customWidth="1"/>
    <col min="13579" max="13582" width="8.42578125" style="401" bestFit="1" customWidth="1"/>
    <col min="13583" max="13583" width="8.85546875" style="401" customWidth="1"/>
    <col min="13584" max="13584" width="10.140625" style="401" bestFit="1" customWidth="1"/>
    <col min="13585" max="13824" width="8" style="401"/>
    <col min="13825" max="13825" width="2.85546875" style="401" customWidth="1"/>
    <col min="13826" max="13826" width="32.42578125" style="401" bestFit="1" customWidth="1"/>
    <col min="13827" max="13827" width="9.85546875" style="401" bestFit="1" customWidth="1"/>
    <col min="13828" max="13828" width="8.85546875" style="401" bestFit="1" customWidth="1"/>
    <col min="13829" max="13829" width="7.42578125" style="401" bestFit="1" customWidth="1"/>
    <col min="13830" max="13830" width="8.7109375" style="401" customWidth="1"/>
    <col min="13831" max="13831" width="8" style="401" bestFit="1" customWidth="1"/>
    <col min="13832" max="13833" width="7.42578125" style="401" bestFit="1" customWidth="1"/>
    <col min="13834" max="13834" width="8.85546875" style="401" bestFit="1" customWidth="1"/>
    <col min="13835" max="13838" width="8.42578125" style="401" bestFit="1" customWidth="1"/>
    <col min="13839" max="13839" width="8.85546875" style="401" customWidth="1"/>
    <col min="13840" max="13840" width="10.140625" style="401" bestFit="1" customWidth="1"/>
    <col min="13841" max="14080" width="8" style="401"/>
    <col min="14081" max="14081" width="2.85546875" style="401" customWidth="1"/>
    <col min="14082" max="14082" width="32.42578125" style="401" bestFit="1" customWidth="1"/>
    <col min="14083" max="14083" width="9.85546875" style="401" bestFit="1" customWidth="1"/>
    <col min="14084" max="14084" width="8.85546875" style="401" bestFit="1" customWidth="1"/>
    <col min="14085" max="14085" width="7.42578125" style="401" bestFit="1" customWidth="1"/>
    <col min="14086" max="14086" width="8.7109375" style="401" customWidth="1"/>
    <col min="14087" max="14087" width="8" style="401" bestFit="1" customWidth="1"/>
    <col min="14088" max="14089" width="7.42578125" style="401" bestFit="1" customWidth="1"/>
    <col min="14090" max="14090" width="8.85546875" style="401" bestFit="1" customWidth="1"/>
    <col min="14091" max="14094" width="8.42578125" style="401" bestFit="1" customWidth="1"/>
    <col min="14095" max="14095" width="8.85546875" style="401" customWidth="1"/>
    <col min="14096" max="14096" width="10.140625" style="401" bestFit="1" customWidth="1"/>
    <col min="14097" max="14336" width="8" style="401"/>
    <col min="14337" max="14337" width="2.85546875" style="401" customWidth="1"/>
    <col min="14338" max="14338" width="32.42578125" style="401" bestFit="1" customWidth="1"/>
    <col min="14339" max="14339" width="9.85546875" style="401" bestFit="1" customWidth="1"/>
    <col min="14340" max="14340" width="8.85546875" style="401" bestFit="1" customWidth="1"/>
    <col min="14341" max="14341" width="7.42578125" style="401" bestFit="1" customWidth="1"/>
    <col min="14342" max="14342" width="8.7109375" style="401" customWidth="1"/>
    <col min="14343" max="14343" width="8" style="401" bestFit="1" customWidth="1"/>
    <col min="14344" max="14345" width="7.42578125" style="401" bestFit="1" customWidth="1"/>
    <col min="14346" max="14346" width="8.85546875" style="401" bestFit="1" customWidth="1"/>
    <col min="14347" max="14350" width="8.42578125" style="401" bestFit="1" customWidth="1"/>
    <col min="14351" max="14351" width="8.85546875" style="401" customWidth="1"/>
    <col min="14352" max="14352" width="10.140625" style="401" bestFit="1" customWidth="1"/>
    <col min="14353" max="14592" width="8" style="401"/>
    <col min="14593" max="14593" width="2.85546875" style="401" customWidth="1"/>
    <col min="14594" max="14594" width="32.42578125" style="401" bestFit="1" customWidth="1"/>
    <col min="14595" max="14595" width="9.85546875" style="401" bestFit="1" customWidth="1"/>
    <col min="14596" max="14596" width="8.85546875" style="401" bestFit="1" customWidth="1"/>
    <col min="14597" max="14597" width="7.42578125" style="401" bestFit="1" customWidth="1"/>
    <col min="14598" max="14598" width="8.7109375" style="401" customWidth="1"/>
    <col min="14599" max="14599" width="8" style="401" bestFit="1" customWidth="1"/>
    <col min="14600" max="14601" width="7.42578125" style="401" bestFit="1" customWidth="1"/>
    <col min="14602" max="14602" width="8.85546875" style="401" bestFit="1" customWidth="1"/>
    <col min="14603" max="14606" width="8.42578125" style="401" bestFit="1" customWidth="1"/>
    <col min="14607" max="14607" width="8.85546875" style="401" customWidth="1"/>
    <col min="14608" max="14608" width="10.140625" style="401" bestFit="1" customWidth="1"/>
    <col min="14609" max="14848" width="8" style="401"/>
    <col min="14849" max="14849" width="2.85546875" style="401" customWidth="1"/>
    <col min="14850" max="14850" width="32.42578125" style="401" bestFit="1" customWidth="1"/>
    <col min="14851" max="14851" width="9.85546875" style="401" bestFit="1" customWidth="1"/>
    <col min="14852" max="14852" width="8.85546875" style="401" bestFit="1" customWidth="1"/>
    <col min="14853" max="14853" width="7.42578125" style="401" bestFit="1" customWidth="1"/>
    <col min="14854" max="14854" width="8.7109375" style="401" customWidth="1"/>
    <col min="14855" max="14855" width="8" style="401" bestFit="1" customWidth="1"/>
    <col min="14856" max="14857" width="7.42578125" style="401" bestFit="1" customWidth="1"/>
    <col min="14858" max="14858" width="8.85546875" style="401" bestFit="1" customWidth="1"/>
    <col min="14859" max="14862" width="8.42578125" style="401" bestFit="1" customWidth="1"/>
    <col min="14863" max="14863" width="8.85546875" style="401" customWidth="1"/>
    <col min="14864" max="14864" width="10.140625" style="401" bestFit="1" customWidth="1"/>
    <col min="14865" max="15104" width="8" style="401"/>
    <col min="15105" max="15105" width="2.85546875" style="401" customWidth="1"/>
    <col min="15106" max="15106" width="32.42578125" style="401" bestFit="1" customWidth="1"/>
    <col min="15107" max="15107" width="9.85546875" style="401" bestFit="1" customWidth="1"/>
    <col min="15108" max="15108" width="8.85546875" style="401" bestFit="1" customWidth="1"/>
    <col min="15109" max="15109" width="7.42578125" style="401" bestFit="1" customWidth="1"/>
    <col min="15110" max="15110" width="8.7109375" style="401" customWidth="1"/>
    <col min="15111" max="15111" width="8" style="401" bestFit="1" customWidth="1"/>
    <col min="15112" max="15113" width="7.42578125" style="401" bestFit="1" customWidth="1"/>
    <col min="15114" max="15114" width="8.85546875" style="401" bestFit="1" customWidth="1"/>
    <col min="15115" max="15118" width="8.42578125" style="401" bestFit="1" customWidth="1"/>
    <col min="15119" max="15119" width="8.85546875" style="401" customWidth="1"/>
    <col min="15120" max="15120" width="10.140625" style="401" bestFit="1" customWidth="1"/>
    <col min="15121" max="15360" width="8" style="401"/>
    <col min="15361" max="15361" width="2.85546875" style="401" customWidth="1"/>
    <col min="15362" max="15362" width="32.42578125" style="401" bestFit="1" customWidth="1"/>
    <col min="15363" max="15363" width="9.85546875" style="401" bestFit="1" customWidth="1"/>
    <col min="15364" max="15364" width="8.85546875" style="401" bestFit="1" customWidth="1"/>
    <col min="15365" max="15365" width="7.42578125" style="401" bestFit="1" customWidth="1"/>
    <col min="15366" max="15366" width="8.7109375" style="401" customWidth="1"/>
    <col min="15367" max="15367" width="8" style="401" bestFit="1" customWidth="1"/>
    <col min="15368" max="15369" width="7.42578125" style="401" bestFit="1" customWidth="1"/>
    <col min="15370" max="15370" width="8.85546875" style="401" bestFit="1" customWidth="1"/>
    <col min="15371" max="15374" width="8.42578125" style="401" bestFit="1" customWidth="1"/>
    <col min="15375" max="15375" width="8.85546875" style="401" customWidth="1"/>
    <col min="15376" max="15376" width="10.140625" style="401" bestFit="1" customWidth="1"/>
    <col min="15377" max="15616" width="8" style="401"/>
    <col min="15617" max="15617" width="2.85546875" style="401" customWidth="1"/>
    <col min="15618" max="15618" width="32.42578125" style="401" bestFit="1" customWidth="1"/>
    <col min="15619" max="15619" width="9.85546875" style="401" bestFit="1" customWidth="1"/>
    <col min="15620" max="15620" width="8.85546875" style="401" bestFit="1" customWidth="1"/>
    <col min="15621" max="15621" width="7.42578125" style="401" bestFit="1" customWidth="1"/>
    <col min="15622" max="15622" width="8.7109375" style="401" customWidth="1"/>
    <col min="15623" max="15623" width="8" style="401" bestFit="1" customWidth="1"/>
    <col min="15624" max="15625" width="7.42578125" style="401" bestFit="1" customWidth="1"/>
    <col min="15626" max="15626" width="8.85546875" style="401" bestFit="1" customWidth="1"/>
    <col min="15627" max="15630" width="8.42578125" style="401" bestFit="1" customWidth="1"/>
    <col min="15631" max="15631" width="8.85546875" style="401" customWidth="1"/>
    <col min="15632" max="15632" width="10.140625" style="401" bestFit="1" customWidth="1"/>
    <col min="15633" max="15872" width="8" style="401"/>
    <col min="15873" max="15873" width="2.85546875" style="401" customWidth="1"/>
    <col min="15874" max="15874" width="32.42578125" style="401" bestFit="1" customWidth="1"/>
    <col min="15875" max="15875" width="9.85546875" style="401" bestFit="1" customWidth="1"/>
    <col min="15876" max="15876" width="8.85546875" style="401" bestFit="1" customWidth="1"/>
    <col min="15877" max="15877" width="7.42578125" style="401" bestFit="1" customWidth="1"/>
    <col min="15878" max="15878" width="8.7109375" style="401" customWidth="1"/>
    <col min="15879" max="15879" width="8" style="401" bestFit="1" customWidth="1"/>
    <col min="15880" max="15881" width="7.42578125" style="401" bestFit="1" customWidth="1"/>
    <col min="15882" max="15882" width="8.85546875" style="401" bestFit="1" customWidth="1"/>
    <col min="15883" max="15886" width="8.42578125" style="401" bestFit="1" customWidth="1"/>
    <col min="15887" max="15887" width="8.85546875" style="401" customWidth="1"/>
    <col min="15888" max="15888" width="10.140625" style="401" bestFit="1" customWidth="1"/>
    <col min="15889" max="16128" width="8" style="401"/>
    <col min="16129" max="16129" width="2.85546875" style="401" customWidth="1"/>
    <col min="16130" max="16130" width="32.42578125" style="401" bestFit="1" customWidth="1"/>
    <col min="16131" max="16131" width="9.85546875" style="401" bestFit="1" customWidth="1"/>
    <col min="16132" max="16132" width="8.85546875" style="401" bestFit="1" customWidth="1"/>
    <col min="16133" max="16133" width="7.42578125" style="401" bestFit="1" customWidth="1"/>
    <col min="16134" max="16134" width="8.7109375" style="401" customWidth="1"/>
    <col min="16135" max="16135" width="8" style="401" bestFit="1" customWidth="1"/>
    <col min="16136" max="16137" width="7.42578125" style="401" bestFit="1" customWidth="1"/>
    <col min="16138" max="16138" width="8.85546875" style="401" bestFit="1" customWidth="1"/>
    <col min="16139" max="16142" width="8.42578125" style="401" bestFit="1" customWidth="1"/>
    <col min="16143" max="16143" width="8.85546875" style="401" customWidth="1"/>
    <col min="16144" max="16144" width="10.140625" style="401" bestFit="1" customWidth="1"/>
    <col min="16145" max="16384" width="8" style="401"/>
  </cols>
  <sheetData>
    <row r="1" spans="1:16" ht="15" x14ac:dyDescent="0.25">
      <c r="O1" s="13" t="s">
        <v>954</v>
      </c>
    </row>
    <row r="2" spans="1:16" ht="15" x14ac:dyDescent="0.25">
      <c r="A2" s="403"/>
      <c r="B2" s="403"/>
      <c r="C2" s="403"/>
      <c r="D2" s="403"/>
      <c r="E2" s="403"/>
      <c r="F2" s="403"/>
      <c r="G2" s="403"/>
      <c r="H2" s="403"/>
      <c r="I2" s="403"/>
      <c r="J2" s="403"/>
      <c r="K2" s="403"/>
      <c r="L2" s="403"/>
      <c r="M2" s="403"/>
      <c r="N2" s="403"/>
      <c r="O2" s="13"/>
    </row>
    <row r="3" spans="1:16" x14ac:dyDescent="0.2">
      <c r="A3" s="674" t="s">
        <v>815</v>
      </c>
      <c r="B3" s="674"/>
      <c r="C3" s="674"/>
      <c r="D3" s="674"/>
      <c r="E3" s="674"/>
      <c r="F3" s="674"/>
      <c r="G3" s="674"/>
      <c r="H3" s="674"/>
      <c r="I3" s="674"/>
      <c r="J3" s="674"/>
      <c r="K3" s="674"/>
      <c r="L3" s="674"/>
      <c r="M3" s="674"/>
      <c r="N3" s="674"/>
      <c r="O3" s="674"/>
    </row>
    <row r="4" spans="1:16" x14ac:dyDescent="0.2">
      <c r="A4" s="404"/>
      <c r="B4" s="404"/>
      <c r="C4" s="404"/>
      <c r="D4" s="404"/>
      <c r="E4" s="404"/>
      <c r="F4" s="404"/>
      <c r="G4" s="404"/>
      <c r="H4" s="404"/>
      <c r="I4" s="404"/>
      <c r="J4" s="404"/>
      <c r="K4" s="404"/>
      <c r="L4" s="404"/>
      <c r="M4" s="404"/>
      <c r="N4" s="404"/>
      <c r="O4" s="405"/>
    </row>
    <row r="5" spans="1:16" ht="7.9" customHeight="1" x14ac:dyDescent="0.2">
      <c r="A5" s="404"/>
      <c r="B5" s="404"/>
      <c r="C5" s="404"/>
      <c r="D5" s="404"/>
      <c r="E5" s="404"/>
      <c r="F5" s="404"/>
      <c r="G5" s="404"/>
      <c r="H5" s="404"/>
      <c r="I5" s="404"/>
      <c r="J5" s="404"/>
      <c r="K5" s="404"/>
      <c r="L5" s="404"/>
      <c r="M5" s="404"/>
      <c r="N5" s="404"/>
    </row>
    <row r="6" spans="1:16" x14ac:dyDescent="0.2">
      <c r="C6" s="402"/>
      <c r="D6" s="402"/>
      <c r="E6" s="402"/>
      <c r="F6" s="402"/>
      <c r="G6" s="402"/>
      <c r="H6" s="402"/>
      <c r="I6" s="402"/>
      <c r="J6" s="402"/>
      <c r="K6" s="402"/>
      <c r="L6" s="402"/>
      <c r="M6" s="402"/>
      <c r="N6" s="402"/>
      <c r="O6" s="404" t="s">
        <v>23</v>
      </c>
    </row>
    <row r="7" spans="1:16" x14ac:dyDescent="0.2">
      <c r="A7" s="406"/>
      <c r="B7" s="406"/>
      <c r="C7" s="407" t="s">
        <v>770</v>
      </c>
      <c r="D7" s="407" t="s">
        <v>771</v>
      </c>
      <c r="E7" s="407" t="s">
        <v>772</v>
      </c>
      <c r="F7" s="407" t="s">
        <v>773</v>
      </c>
      <c r="G7" s="407" t="s">
        <v>774</v>
      </c>
      <c r="H7" s="407" t="s">
        <v>775</v>
      </c>
      <c r="I7" s="407" t="s">
        <v>776</v>
      </c>
      <c r="J7" s="407" t="s">
        <v>777</v>
      </c>
      <c r="K7" s="407" t="s">
        <v>778</v>
      </c>
      <c r="L7" s="407" t="s">
        <v>779</v>
      </c>
      <c r="M7" s="407" t="s">
        <v>780</v>
      </c>
      <c r="N7" s="407" t="s">
        <v>781</v>
      </c>
      <c r="O7" s="408" t="s">
        <v>219</v>
      </c>
    </row>
    <row r="8" spans="1:16" x14ac:dyDescent="0.2">
      <c r="A8" s="409" t="s">
        <v>654</v>
      </c>
      <c r="B8" s="406"/>
      <c r="C8" s="410"/>
      <c r="D8" s="410"/>
      <c r="E8" s="410"/>
      <c r="F8" s="410"/>
      <c r="G8" s="410"/>
      <c r="H8" s="410"/>
      <c r="I8" s="410"/>
      <c r="J8" s="410"/>
      <c r="K8" s="410"/>
      <c r="L8" s="410"/>
      <c r="M8" s="410"/>
      <c r="N8" s="410"/>
      <c r="O8" s="410"/>
    </row>
    <row r="9" spans="1:16" x14ac:dyDescent="0.2">
      <c r="A9" s="406">
        <v>1</v>
      </c>
      <c r="B9" s="550" t="s">
        <v>782</v>
      </c>
      <c r="C9" s="410">
        <v>17000</v>
      </c>
      <c r="D9" s="410">
        <v>17500</v>
      </c>
      <c r="E9" s="410">
        <v>17400</v>
      </c>
      <c r="F9" s="410">
        <v>18000</v>
      </c>
      <c r="G9" s="410">
        <v>17600</v>
      </c>
      <c r="H9" s="410">
        <v>17000</v>
      </c>
      <c r="I9" s="410">
        <v>17500</v>
      </c>
      <c r="J9" s="410">
        <v>18000</v>
      </c>
      <c r="K9" s="410">
        <v>19000</v>
      </c>
      <c r="L9" s="410">
        <v>18500</v>
      </c>
      <c r="M9" s="410">
        <v>18600</v>
      </c>
      <c r="N9" s="410">
        <v>19468</v>
      </c>
      <c r="O9" s="411">
        <f t="shared" ref="O9:O17" si="0">SUM(C9:N9)</f>
        <v>215568</v>
      </c>
      <c r="P9" s="402"/>
    </row>
    <row r="10" spans="1:16" x14ac:dyDescent="0.2">
      <c r="A10" s="406">
        <v>2</v>
      </c>
      <c r="B10" s="550" t="s">
        <v>55</v>
      </c>
      <c r="C10" s="410">
        <v>8800</v>
      </c>
      <c r="D10" s="410">
        <v>9300</v>
      </c>
      <c r="E10" s="410">
        <v>420455</v>
      </c>
      <c r="F10" s="410">
        <v>20800</v>
      </c>
      <c r="G10" s="410">
        <v>70800</v>
      </c>
      <c r="H10" s="410">
        <v>16800</v>
      </c>
      <c r="I10" s="410">
        <v>8800</v>
      </c>
      <c r="J10" s="410">
        <v>21984</v>
      </c>
      <c r="K10" s="410">
        <v>449159</v>
      </c>
      <c r="L10" s="410">
        <v>21884</v>
      </c>
      <c r="M10" s="410">
        <v>36495</v>
      </c>
      <c r="N10" s="410">
        <v>12882</v>
      </c>
      <c r="O10" s="411">
        <f t="shared" si="0"/>
        <v>1098159</v>
      </c>
      <c r="P10" s="402"/>
    </row>
    <row r="11" spans="1:16" x14ac:dyDescent="0.2">
      <c r="A11" s="406"/>
      <c r="B11" s="550" t="s">
        <v>783</v>
      </c>
      <c r="C11" s="410">
        <v>8000</v>
      </c>
      <c r="D11" s="410">
        <v>8500</v>
      </c>
      <c r="E11" s="410">
        <v>420455</v>
      </c>
      <c r="F11" s="410">
        <v>20000</v>
      </c>
      <c r="G11" s="410">
        <v>70000</v>
      </c>
      <c r="H11" s="410">
        <v>16000</v>
      </c>
      <c r="I11" s="410">
        <v>8000</v>
      </c>
      <c r="J11" s="410">
        <v>21184</v>
      </c>
      <c r="K11" s="410">
        <v>449159</v>
      </c>
      <c r="L11" s="410">
        <v>21084</v>
      </c>
      <c r="M11" s="410">
        <v>35695</v>
      </c>
      <c r="N11" s="410">
        <v>12082</v>
      </c>
      <c r="O11" s="411">
        <f t="shared" si="0"/>
        <v>1090159</v>
      </c>
      <c r="P11" s="402"/>
    </row>
    <row r="12" spans="1:16" x14ac:dyDescent="0.2">
      <c r="A12" s="406">
        <v>3</v>
      </c>
      <c r="B12" s="550" t="s">
        <v>62</v>
      </c>
      <c r="C12" s="410">
        <v>27600</v>
      </c>
      <c r="D12" s="410">
        <v>5000</v>
      </c>
      <c r="E12" s="410">
        <v>129000</v>
      </c>
      <c r="F12" s="410">
        <v>12000</v>
      </c>
      <c r="G12" s="410">
        <v>80000</v>
      </c>
      <c r="H12" s="410">
        <v>11000</v>
      </c>
      <c r="I12" s="410">
        <v>25000</v>
      </c>
      <c r="J12" s="410">
        <v>14000</v>
      </c>
      <c r="K12" s="410">
        <v>30000</v>
      </c>
      <c r="L12" s="410">
        <v>15000</v>
      </c>
      <c r="M12" s="410">
        <v>15000</v>
      </c>
      <c r="N12" s="410">
        <v>24651</v>
      </c>
      <c r="O12" s="411">
        <f t="shared" si="0"/>
        <v>388251</v>
      </c>
      <c r="P12" s="402"/>
    </row>
    <row r="13" spans="1:16" x14ac:dyDescent="0.2">
      <c r="A13" s="406">
        <v>4</v>
      </c>
      <c r="B13" s="550" t="s">
        <v>26</v>
      </c>
      <c r="C13" s="410">
        <v>206396</v>
      </c>
      <c r="D13" s="410">
        <v>137597</v>
      </c>
      <c r="E13" s="410">
        <v>137597</v>
      </c>
      <c r="F13" s="410">
        <v>137597</v>
      </c>
      <c r="G13" s="410">
        <v>137597</v>
      </c>
      <c r="H13" s="410">
        <v>137597</v>
      </c>
      <c r="I13" s="410">
        <v>137597</v>
      </c>
      <c r="J13" s="410">
        <v>137597</v>
      </c>
      <c r="K13" s="410">
        <v>137597</v>
      </c>
      <c r="L13" s="410">
        <v>137597</v>
      </c>
      <c r="M13" s="410">
        <v>137597</v>
      </c>
      <c r="N13" s="410">
        <v>137603</v>
      </c>
      <c r="O13" s="411">
        <f t="shared" si="0"/>
        <v>1719969</v>
      </c>
      <c r="P13" s="402"/>
    </row>
    <row r="14" spans="1:16" ht="25.5" x14ac:dyDescent="0.2">
      <c r="A14" s="406">
        <v>5</v>
      </c>
      <c r="B14" s="551" t="s">
        <v>784</v>
      </c>
      <c r="C14" s="410">
        <f t="shared" ref="C14:N14" si="1">SUM(C15:C16)</f>
        <v>10000</v>
      </c>
      <c r="D14" s="410">
        <f t="shared" si="1"/>
        <v>15000</v>
      </c>
      <c r="E14" s="410">
        <f t="shared" si="1"/>
        <v>30000</v>
      </c>
      <c r="F14" s="410">
        <f t="shared" si="1"/>
        <v>63000</v>
      </c>
      <c r="G14" s="410">
        <f t="shared" si="1"/>
        <v>18000</v>
      </c>
      <c r="H14" s="410">
        <f t="shared" si="1"/>
        <v>59080</v>
      </c>
      <c r="I14" s="410">
        <f t="shared" si="1"/>
        <v>48342</v>
      </c>
      <c r="J14" s="410">
        <f t="shared" si="1"/>
        <v>27000</v>
      </c>
      <c r="K14" s="410">
        <f t="shared" si="1"/>
        <v>25000</v>
      </c>
      <c r="L14" s="410">
        <f t="shared" si="1"/>
        <v>30000</v>
      </c>
      <c r="M14" s="410">
        <f t="shared" si="1"/>
        <v>41000</v>
      </c>
      <c r="N14" s="410">
        <f t="shared" si="1"/>
        <v>39985</v>
      </c>
      <c r="O14" s="411">
        <f t="shared" si="0"/>
        <v>406407</v>
      </c>
      <c r="P14" s="402"/>
    </row>
    <row r="15" spans="1:16" x14ac:dyDescent="0.2">
      <c r="A15" s="406"/>
      <c r="B15" s="550" t="s">
        <v>785</v>
      </c>
      <c r="C15" s="410">
        <v>5000</v>
      </c>
      <c r="D15" s="410">
        <v>7000</v>
      </c>
      <c r="E15" s="410">
        <v>12000</v>
      </c>
      <c r="F15" s="410">
        <f>6500+1500</f>
        <v>8000</v>
      </c>
      <c r="G15" s="410">
        <v>8000</v>
      </c>
      <c r="H15" s="410">
        <v>11000</v>
      </c>
      <c r="I15" s="410">
        <v>18000</v>
      </c>
      <c r="J15" s="410">
        <v>15000</v>
      </c>
      <c r="K15" s="410">
        <v>10000</v>
      </c>
      <c r="L15" s="410">
        <v>15000</v>
      </c>
      <c r="M15" s="410">
        <v>16000</v>
      </c>
      <c r="N15" s="410">
        <v>17336</v>
      </c>
      <c r="O15" s="411">
        <f t="shared" si="0"/>
        <v>142336</v>
      </c>
      <c r="P15" s="402"/>
    </row>
    <row r="16" spans="1:16" x14ac:dyDescent="0.2">
      <c r="A16" s="406"/>
      <c r="B16" s="550" t="s">
        <v>786</v>
      </c>
      <c r="C16" s="410">
        <v>5000</v>
      </c>
      <c r="D16" s="410">
        <v>8000</v>
      </c>
      <c r="E16" s="410">
        <v>18000</v>
      </c>
      <c r="F16" s="410">
        <v>55000</v>
      </c>
      <c r="G16" s="410">
        <v>10000</v>
      </c>
      <c r="H16" s="410">
        <v>48080</v>
      </c>
      <c r="I16" s="410">
        <v>30342</v>
      </c>
      <c r="J16" s="410">
        <v>12000</v>
      </c>
      <c r="K16" s="410">
        <v>15000</v>
      </c>
      <c r="L16" s="410">
        <v>15000</v>
      </c>
      <c r="M16" s="410">
        <v>25000</v>
      </c>
      <c r="N16" s="410">
        <v>22649</v>
      </c>
      <c r="O16" s="411">
        <f t="shared" si="0"/>
        <v>264071</v>
      </c>
      <c r="P16" s="402"/>
    </row>
    <row r="17" spans="1:17" x14ac:dyDescent="0.2">
      <c r="A17" s="406">
        <v>6</v>
      </c>
      <c r="B17" s="552" t="s">
        <v>2</v>
      </c>
      <c r="C17" s="410">
        <v>0</v>
      </c>
      <c r="D17" s="410">
        <v>0</v>
      </c>
      <c r="E17" s="410">
        <v>500</v>
      </c>
      <c r="F17" s="410">
        <v>0</v>
      </c>
      <c r="G17" s="410">
        <v>0</v>
      </c>
      <c r="H17" s="410">
        <v>500</v>
      </c>
      <c r="I17" s="410">
        <v>0</v>
      </c>
      <c r="J17" s="410">
        <v>500</v>
      </c>
      <c r="K17" s="410">
        <v>0</v>
      </c>
      <c r="L17" s="410">
        <v>500</v>
      </c>
      <c r="M17" s="410">
        <v>300</v>
      </c>
      <c r="N17" s="410">
        <v>21000</v>
      </c>
      <c r="O17" s="411">
        <f t="shared" si="0"/>
        <v>23300</v>
      </c>
      <c r="P17" s="402"/>
    </row>
    <row r="18" spans="1:17" x14ac:dyDescent="0.2">
      <c r="A18" s="406">
        <v>7</v>
      </c>
      <c r="B18" s="406" t="s">
        <v>787</v>
      </c>
      <c r="C18" s="410">
        <f t="shared" ref="C18:O18" si="2">C9+C10+C12+C13+C14+C17</f>
        <v>269796</v>
      </c>
      <c r="D18" s="410">
        <f t="shared" si="2"/>
        <v>184397</v>
      </c>
      <c r="E18" s="410">
        <f t="shared" si="2"/>
        <v>734952</v>
      </c>
      <c r="F18" s="410">
        <f t="shared" si="2"/>
        <v>251397</v>
      </c>
      <c r="G18" s="410">
        <f t="shared" si="2"/>
        <v>323997</v>
      </c>
      <c r="H18" s="410">
        <f t="shared" si="2"/>
        <v>241977</v>
      </c>
      <c r="I18" s="410">
        <f t="shared" si="2"/>
        <v>237239</v>
      </c>
      <c r="J18" s="410">
        <f t="shared" si="2"/>
        <v>219081</v>
      </c>
      <c r="K18" s="410">
        <f t="shared" si="2"/>
        <v>660756</v>
      </c>
      <c r="L18" s="410">
        <f t="shared" si="2"/>
        <v>223481</v>
      </c>
      <c r="M18" s="410">
        <f t="shared" si="2"/>
        <v>248992</v>
      </c>
      <c r="N18" s="410">
        <f t="shared" si="2"/>
        <v>255589</v>
      </c>
      <c r="O18" s="411">
        <f t="shared" si="2"/>
        <v>3851654</v>
      </c>
      <c r="P18" s="402"/>
    </row>
    <row r="19" spans="1:17" ht="25.5" x14ac:dyDescent="0.2">
      <c r="A19" s="406">
        <v>8</v>
      </c>
      <c r="B19" s="552" t="s">
        <v>788</v>
      </c>
      <c r="C19" s="410">
        <v>1696984</v>
      </c>
      <c r="D19" s="410">
        <v>0</v>
      </c>
      <c r="E19" s="410">
        <v>0</v>
      </c>
      <c r="F19" s="410">
        <v>0</v>
      </c>
      <c r="G19" s="410">
        <v>0</v>
      </c>
      <c r="H19" s="410">
        <v>0</v>
      </c>
      <c r="I19" s="410">
        <v>0</v>
      </c>
      <c r="J19" s="410">
        <v>0</v>
      </c>
      <c r="K19" s="410">
        <v>0</v>
      </c>
      <c r="L19" s="410">
        <v>0</v>
      </c>
      <c r="M19" s="410">
        <v>0</v>
      </c>
      <c r="N19" s="410">
        <v>0</v>
      </c>
      <c r="O19" s="411">
        <f>SUM(C19:N19)</f>
        <v>1696984</v>
      </c>
      <c r="P19" s="402"/>
    </row>
    <row r="20" spans="1:17" x14ac:dyDescent="0.2">
      <c r="A20" s="406"/>
      <c r="B20" s="406"/>
      <c r="C20" s="410"/>
      <c r="D20" s="410"/>
      <c r="E20" s="410"/>
      <c r="F20" s="410"/>
      <c r="G20" s="410"/>
      <c r="H20" s="410"/>
      <c r="I20" s="410"/>
      <c r="J20" s="410"/>
      <c r="K20" s="410"/>
      <c r="L20" s="410"/>
      <c r="M20" s="410"/>
      <c r="N20" s="410"/>
      <c r="O20" s="411"/>
      <c r="P20" s="402"/>
    </row>
    <row r="21" spans="1:17" x14ac:dyDescent="0.2">
      <c r="A21" s="409">
        <v>9</v>
      </c>
      <c r="B21" s="409" t="s">
        <v>789</v>
      </c>
      <c r="C21" s="412">
        <f t="shared" ref="C21:O21" si="3">C18+C19</f>
        <v>1966780</v>
      </c>
      <c r="D21" s="412">
        <f t="shared" si="3"/>
        <v>184397</v>
      </c>
      <c r="E21" s="412">
        <f t="shared" si="3"/>
        <v>734952</v>
      </c>
      <c r="F21" s="412">
        <f t="shared" si="3"/>
        <v>251397</v>
      </c>
      <c r="G21" s="412">
        <f t="shared" si="3"/>
        <v>323997</v>
      </c>
      <c r="H21" s="412">
        <f t="shared" si="3"/>
        <v>241977</v>
      </c>
      <c r="I21" s="412">
        <f t="shared" si="3"/>
        <v>237239</v>
      </c>
      <c r="J21" s="412">
        <f t="shared" si="3"/>
        <v>219081</v>
      </c>
      <c r="K21" s="412">
        <f t="shared" si="3"/>
        <v>660756</v>
      </c>
      <c r="L21" s="412">
        <f t="shared" si="3"/>
        <v>223481</v>
      </c>
      <c r="M21" s="412">
        <f t="shared" si="3"/>
        <v>248992</v>
      </c>
      <c r="N21" s="412">
        <f t="shared" si="3"/>
        <v>255589</v>
      </c>
      <c r="O21" s="412">
        <f t="shared" si="3"/>
        <v>5548638</v>
      </c>
      <c r="P21" s="402"/>
    </row>
    <row r="22" spans="1:17" x14ac:dyDescent="0.2">
      <c r="A22" s="413"/>
      <c r="B22" s="413"/>
      <c r="C22" s="414"/>
      <c r="D22" s="414"/>
      <c r="E22" s="414"/>
      <c r="F22" s="414"/>
      <c r="G22" s="414"/>
      <c r="H22" s="414"/>
      <c r="I22" s="414"/>
      <c r="J22" s="414"/>
      <c r="K22" s="414"/>
      <c r="L22" s="414"/>
      <c r="M22" s="414"/>
      <c r="N22" s="414"/>
      <c r="O22" s="414"/>
    </row>
    <row r="23" spans="1:17" x14ac:dyDescent="0.2">
      <c r="A23" s="409" t="s">
        <v>668</v>
      </c>
      <c r="B23" s="406"/>
      <c r="C23" s="415"/>
      <c r="D23" s="415"/>
      <c r="E23" s="415"/>
      <c r="F23" s="415"/>
      <c r="G23" s="415"/>
      <c r="H23" s="415"/>
      <c r="I23" s="415"/>
      <c r="J23" s="415"/>
      <c r="K23" s="415"/>
      <c r="L23" s="415"/>
      <c r="M23" s="415"/>
      <c r="N23" s="415"/>
      <c r="O23" s="416"/>
      <c r="P23" s="553"/>
    </row>
    <row r="24" spans="1:17" x14ac:dyDescent="0.2">
      <c r="A24" s="406">
        <v>10</v>
      </c>
      <c r="B24" s="550" t="s">
        <v>790</v>
      </c>
      <c r="C24" s="410">
        <v>87260</v>
      </c>
      <c r="D24" s="410">
        <v>88029</v>
      </c>
      <c r="E24" s="410">
        <v>86939</v>
      </c>
      <c r="F24" s="410">
        <v>85274</v>
      </c>
      <c r="G24" s="410">
        <v>78832</v>
      </c>
      <c r="H24" s="410">
        <v>79153</v>
      </c>
      <c r="I24" s="410">
        <v>80434</v>
      </c>
      <c r="J24" s="410">
        <v>88349</v>
      </c>
      <c r="K24" s="410">
        <v>87388</v>
      </c>
      <c r="L24" s="410">
        <v>84933</v>
      </c>
      <c r="M24" s="410">
        <v>88013</v>
      </c>
      <c r="N24" s="410">
        <v>82097</v>
      </c>
      <c r="O24" s="411">
        <f>SUM(C24:N24)</f>
        <v>1016701</v>
      </c>
      <c r="P24" s="402"/>
    </row>
    <row r="25" spans="1:17" x14ac:dyDescent="0.2">
      <c r="A25" s="406">
        <v>11</v>
      </c>
      <c r="B25" s="550" t="s">
        <v>791</v>
      </c>
      <c r="C25" s="410">
        <v>8480</v>
      </c>
      <c r="D25" s="410">
        <v>8555</v>
      </c>
      <c r="E25" s="410">
        <v>8449</v>
      </c>
      <c r="F25" s="410">
        <v>8287</v>
      </c>
      <c r="G25" s="410">
        <v>7661</v>
      </c>
      <c r="H25" s="410">
        <v>7692</v>
      </c>
      <c r="I25" s="410">
        <v>7817</v>
      </c>
      <c r="J25" s="410">
        <v>8586</v>
      </c>
      <c r="K25" s="410">
        <v>8492</v>
      </c>
      <c r="L25" s="410">
        <v>8254</v>
      </c>
      <c r="M25" s="410">
        <v>8553</v>
      </c>
      <c r="N25" s="410">
        <v>7974</v>
      </c>
      <c r="O25" s="411">
        <f>SUM(C25:N25)</f>
        <v>98800</v>
      </c>
      <c r="P25" s="402"/>
      <c r="Q25" s="554"/>
    </row>
    <row r="26" spans="1:17" x14ac:dyDescent="0.2">
      <c r="A26" s="406">
        <v>12</v>
      </c>
      <c r="B26" s="550" t="s">
        <v>792</v>
      </c>
      <c r="C26" s="410">
        <v>130000</v>
      </c>
      <c r="D26" s="410">
        <v>138124</v>
      </c>
      <c r="E26" s="410">
        <v>135387</v>
      </c>
      <c r="F26" s="410">
        <v>145000</v>
      </c>
      <c r="G26" s="410">
        <v>140862</v>
      </c>
      <c r="H26" s="410">
        <v>140392</v>
      </c>
      <c r="I26" s="410">
        <v>141733</v>
      </c>
      <c r="J26" s="410">
        <v>144415</v>
      </c>
      <c r="K26" s="410">
        <v>140000</v>
      </c>
      <c r="L26" s="410">
        <v>140000</v>
      </c>
      <c r="M26" s="410">
        <v>147208</v>
      </c>
      <c r="N26" s="410">
        <v>145479</v>
      </c>
      <c r="O26" s="411">
        <f>SUM(C26:N26)</f>
        <v>1688600</v>
      </c>
      <c r="P26" s="402"/>
    </row>
    <row r="27" spans="1:17" x14ac:dyDescent="0.2">
      <c r="A27" s="406">
        <v>13</v>
      </c>
      <c r="B27" s="550" t="s">
        <v>44</v>
      </c>
      <c r="C27" s="410">
        <v>1000</v>
      </c>
      <c r="D27" s="410">
        <v>1000</v>
      </c>
      <c r="E27" s="410">
        <v>1000</v>
      </c>
      <c r="F27" s="410">
        <v>1000</v>
      </c>
      <c r="G27" s="410">
        <v>1000</v>
      </c>
      <c r="H27" s="410">
        <v>1000</v>
      </c>
      <c r="I27" s="410">
        <v>1500</v>
      </c>
      <c r="J27" s="410">
        <v>1500</v>
      </c>
      <c r="K27" s="410">
        <v>1500</v>
      </c>
      <c r="L27" s="410">
        <v>1500</v>
      </c>
      <c r="M27" s="410">
        <v>1500</v>
      </c>
      <c r="N27" s="410">
        <v>1500</v>
      </c>
      <c r="O27" s="411">
        <f>SUM(C27:N27)</f>
        <v>15000</v>
      </c>
      <c r="P27" s="402"/>
    </row>
    <row r="28" spans="1:17" x14ac:dyDescent="0.2">
      <c r="A28" s="406">
        <v>14</v>
      </c>
      <c r="B28" s="550" t="s">
        <v>793</v>
      </c>
      <c r="C28" s="410">
        <v>35000</v>
      </c>
      <c r="D28" s="410">
        <v>44698</v>
      </c>
      <c r="E28" s="410">
        <v>42000</v>
      </c>
      <c r="F28" s="410">
        <v>41000</v>
      </c>
      <c r="G28" s="410">
        <v>42000</v>
      </c>
      <c r="H28" s="410">
        <v>59000</v>
      </c>
      <c r="I28" s="410">
        <v>55000</v>
      </c>
      <c r="J28" s="410">
        <v>48010</v>
      </c>
      <c r="K28" s="410">
        <v>51500</v>
      </c>
      <c r="L28" s="410">
        <v>48600</v>
      </c>
      <c r="M28" s="410">
        <v>53000</v>
      </c>
      <c r="N28" s="410">
        <v>47000</v>
      </c>
      <c r="O28" s="411">
        <f>SUM(C28:N28)</f>
        <v>566808</v>
      </c>
      <c r="P28" s="402"/>
    </row>
    <row r="29" spans="1:17" x14ac:dyDescent="0.2">
      <c r="A29" s="406">
        <v>15</v>
      </c>
      <c r="B29" s="550" t="s">
        <v>794</v>
      </c>
      <c r="C29" s="410">
        <f t="shared" ref="C29:O29" si="4">C24+C25+C26+C27+C28</f>
        <v>261740</v>
      </c>
      <c r="D29" s="410">
        <f t="shared" si="4"/>
        <v>280406</v>
      </c>
      <c r="E29" s="410">
        <f t="shared" si="4"/>
        <v>273775</v>
      </c>
      <c r="F29" s="410">
        <f t="shared" si="4"/>
        <v>280561</v>
      </c>
      <c r="G29" s="410">
        <f t="shared" si="4"/>
        <v>270355</v>
      </c>
      <c r="H29" s="410">
        <f t="shared" si="4"/>
        <v>287237</v>
      </c>
      <c r="I29" s="410">
        <f t="shared" si="4"/>
        <v>286484</v>
      </c>
      <c r="J29" s="410">
        <f t="shared" si="4"/>
        <v>290860</v>
      </c>
      <c r="K29" s="410">
        <f t="shared" si="4"/>
        <v>288880</v>
      </c>
      <c r="L29" s="410">
        <f t="shared" si="4"/>
        <v>283287</v>
      </c>
      <c r="M29" s="410">
        <f t="shared" si="4"/>
        <v>298274</v>
      </c>
      <c r="N29" s="410">
        <f t="shared" si="4"/>
        <v>284050</v>
      </c>
      <c r="O29" s="411">
        <f t="shared" si="4"/>
        <v>3385909</v>
      </c>
      <c r="P29" s="402"/>
    </row>
    <row r="30" spans="1:17" x14ac:dyDescent="0.2">
      <c r="A30" s="406">
        <v>16</v>
      </c>
      <c r="B30" s="550" t="s">
        <v>18</v>
      </c>
      <c r="C30" s="410">
        <v>6000</v>
      </c>
      <c r="D30" s="410">
        <v>16000</v>
      </c>
      <c r="E30" s="410">
        <v>15000</v>
      </c>
      <c r="F30" s="410">
        <v>25000</v>
      </c>
      <c r="G30" s="410">
        <v>45000</v>
      </c>
      <c r="H30" s="410">
        <v>320000</v>
      </c>
      <c r="I30" s="410">
        <v>35000</v>
      </c>
      <c r="J30" s="410">
        <v>70000</v>
      </c>
      <c r="K30" s="410">
        <v>280000</v>
      </c>
      <c r="L30" s="410">
        <v>99500</v>
      </c>
      <c r="M30" s="410">
        <v>150000</v>
      </c>
      <c r="N30" s="410">
        <v>302783</v>
      </c>
      <c r="O30" s="411">
        <f>SUM(C30:N30)</f>
        <v>1364283</v>
      </c>
      <c r="P30" s="402"/>
    </row>
    <row r="31" spans="1:17" x14ac:dyDescent="0.2">
      <c r="A31" s="406">
        <v>17</v>
      </c>
      <c r="B31" s="550" t="s">
        <v>46</v>
      </c>
      <c r="C31" s="410">
        <v>15000</v>
      </c>
      <c r="D31" s="410">
        <v>25000</v>
      </c>
      <c r="E31" s="410">
        <v>55000</v>
      </c>
      <c r="F31" s="410">
        <v>95000</v>
      </c>
      <c r="G31" s="410">
        <v>45000</v>
      </c>
      <c r="H31" s="410">
        <v>55000</v>
      </c>
      <c r="I31" s="410">
        <v>65000</v>
      </c>
      <c r="J31" s="410">
        <v>85000</v>
      </c>
      <c r="K31" s="410">
        <v>85000</v>
      </c>
      <c r="L31" s="410">
        <v>95000</v>
      </c>
      <c r="M31" s="410">
        <v>14324</v>
      </c>
      <c r="N31" s="410">
        <v>45000</v>
      </c>
      <c r="O31" s="411">
        <f>SUM(C31:N31)</f>
        <v>679324</v>
      </c>
      <c r="P31" s="402"/>
    </row>
    <row r="32" spans="1:17" x14ac:dyDescent="0.2">
      <c r="A32" s="406">
        <v>18</v>
      </c>
      <c r="B32" s="550" t="s">
        <v>795</v>
      </c>
      <c r="C32" s="410">
        <v>0</v>
      </c>
      <c r="D32" s="410">
        <v>1000</v>
      </c>
      <c r="E32" s="410">
        <v>1000</v>
      </c>
      <c r="F32" s="410">
        <v>1000</v>
      </c>
      <c r="G32" s="410">
        <v>800</v>
      </c>
      <c r="H32" s="410">
        <v>800</v>
      </c>
      <c r="I32" s="410">
        <v>500</v>
      </c>
      <c r="J32" s="410">
        <v>500</v>
      </c>
      <c r="K32" s="410">
        <v>1000</v>
      </c>
      <c r="L32" s="410">
        <v>1000</v>
      </c>
      <c r="M32" s="410">
        <v>400</v>
      </c>
      <c r="N32" s="410">
        <v>300</v>
      </c>
      <c r="O32" s="411">
        <f>SUM(C32:N32)</f>
        <v>8300</v>
      </c>
      <c r="P32" s="402"/>
    </row>
    <row r="33" spans="1:16" x14ac:dyDescent="0.2">
      <c r="A33" s="406">
        <v>19</v>
      </c>
      <c r="B33" s="550" t="s">
        <v>796</v>
      </c>
      <c r="C33" s="410">
        <f t="shared" ref="C33:O33" si="5">C30+C31+C32</f>
        <v>21000</v>
      </c>
      <c r="D33" s="410">
        <f t="shared" si="5"/>
        <v>42000</v>
      </c>
      <c r="E33" s="410">
        <f t="shared" si="5"/>
        <v>71000</v>
      </c>
      <c r="F33" s="410">
        <f t="shared" si="5"/>
        <v>121000</v>
      </c>
      <c r="G33" s="410">
        <f t="shared" si="5"/>
        <v>90800</v>
      </c>
      <c r="H33" s="410">
        <f t="shared" si="5"/>
        <v>375800</v>
      </c>
      <c r="I33" s="410">
        <f t="shared" si="5"/>
        <v>100500</v>
      </c>
      <c r="J33" s="410">
        <f t="shared" si="5"/>
        <v>155500</v>
      </c>
      <c r="K33" s="410">
        <f t="shared" si="5"/>
        <v>366000</v>
      </c>
      <c r="L33" s="410">
        <f t="shared" si="5"/>
        <v>195500</v>
      </c>
      <c r="M33" s="410">
        <f t="shared" si="5"/>
        <v>164724</v>
      </c>
      <c r="N33" s="410">
        <f t="shared" si="5"/>
        <v>348083</v>
      </c>
      <c r="O33" s="411">
        <f t="shared" si="5"/>
        <v>2051907</v>
      </c>
      <c r="P33" s="402"/>
    </row>
    <row r="34" spans="1:16" x14ac:dyDescent="0.2">
      <c r="A34" s="406">
        <v>20</v>
      </c>
      <c r="B34" s="550" t="s">
        <v>797</v>
      </c>
      <c r="C34" s="411"/>
      <c r="D34" s="411"/>
      <c r="E34" s="411"/>
      <c r="F34" s="411"/>
      <c r="G34" s="411"/>
      <c r="H34" s="411"/>
      <c r="I34" s="411"/>
      <c r="J34" s="411"/>
      <c r="K34" s="411">
        <v>4000</v>
      </c>
      <c r="L34" s="411">
        <v>4000</v>
      </c>
      <c r="M34" s="411">
        <v>5000</v>
      </c>
      <c r="N34" s="411">
        <v>6868</v>
      </c>
      <c r="O34" s="411">
        <f>SUM(C34:N34)</f>
        <v>19868</v>
      </c>
      <c r="P34" s="402"/>
    </row>
    <row r="35" spans="1:16" x14ac:dyDescent="0.2">
      <c r="A35" s="406">
        <v>21</v>
      </c>
      <c r="B35" s="550" t="s">
        <v>798</v>
      </c>
      <c r="C35" s="410">
        <f t="shared" ref="C35:O35" si="6">C29+C33+C34</f>
        <v>282740</v>
      </c>
      <c r="D35" s="410">
        <f t="shared" si="6"/>
        <v>322406</v>
      </c>
      <c r="E35" s="410">
        <f t="shared" si="6"/>
        <v>344775</v>
      </c>
      <c r="F35" s="410">
        <f t="shared" si="6"/>
        <v>401561</v>
      </c>
      <c r="G35" s="410">
        <f t="shared" si="6"/>
        <v>361155</v>
      </c>
      <c r="H35" s="410">
        <f t="shared" si="6"/>
        <v>663037</v>
      </c>
      <c r="I35" s="410">
        <f t="shared" si="6"/>
        <v>386984</v>
      </c>
      <c r="J35" s="410">
        <f t="shared" si="6"/>
        <v>446360</v>
      </c>
      <c r="K35" s="410">
        <f t="shared" si="6"/>
        <v>658880</v>
      </c>
      <c r="L35" s="410">
        <f t="shared" si="6"/>
        <v>482787</v>
      </c>
      <c r="M35" s="410">
        <f t="shared" si="6"/>
        <v>467998</v>
      </c>
      <c r="N35" s="410">
        <f t="shared" si="6"/>
        <v>639001</v>
      </c>
      <c r="O35" s="410">
        <f t="shared" si="6"/>
        <v>5457684</v>
      </c>
    </row>
    <row r="36" spans="1:16" ht="25.5" x14ac:dyDescent="0.2">
      <c r="A36" s="406">
        <v>22</v>
      </c>
      <c r="B36" s="552" t="s">
        <v>799</v>
      </c>
      <c r="C36" s="410">
        <v>64565</v>
      </c>
      <c r="D36" s="410">
        <v>0</v>
      </c>
      <c r="E36" s="410">
        <v>6597</v>
      </c>
      <c r="F36" s="410">
        <v>0</v>
      </c>
      <c r="G36" s="410">
        <v>0</v>
      </c>
      <c r="H36" s="410">
        <v>6597</v>
      </c>
      <c r="I36" s="410">
        <v>0</v>
      </c>
      <c r="J36" s="410">
        <v>0</v>
      </c>
      <c r="K36" s="410">
        <v>6597</v>
      </c>
      <c r="L36" s="410">
        <v>0</v>
      </c>
      <c r="M36" s="410">
        <v>0</v>
      </c>
      <c r="N36" s="410">
        <v>6598</v>
      </c>
      <c r="O36" s="411">
        <f>SUM(C36:N36)</f>
        <v>90954</v>
      </c>
      <c r="P36" s="402"/>
    </row>
    <row r="37" spans="1:16" x14ac:dyDescent="0.2">
      <c r="A37" s="409">
        <v>23</v>
      </c>
      <c r="B37" s="409" t="s">
        <v>800</v>
      </c>
      <c r="C37" s="412">
        <f t="shared" ref="C37:O37" si="7">C35+C36</f>
        <v>347305</v>
      </c>
      <c r="D37" s="412">
        <f t="shared" si="7"/>
        <v>322406</v>
      </c>
      <c r="E37" s="412">
        <f t="shared" si="7"/>
        <v>351372</v>
      </c>
      <c r="F37" s="412">
        <f t="shared" si="7"/>
        <v>401561</v>
      </c>
      <c r="G37" s="412">
        <f t="shared" si="7"/>
        <v>361155</v>
      </c>
      <c r="H37" s="412">
        <f t="shared" si="7"/>
        <v>669634</v>
      </c>
      <c r="I37" s="412">
        <f t="shared" si="7"/>
        <v>386984</v>
      </c>
      <c r="J37" s="412">
        <f t="shared" si="7"/>
        <v>446360</v>
      </c>
      <c r="K37" s="412">
        <f t="shared" si="7"/>
        <v>665477</v>
      </c>
      <c r="L37" s="412">
        <f t="shared" si="7"/>
        <v>482787</v>
      </c>
      <c r="M37" s="412">
        <f t="shared" si="7"/>
        <v>467998</v>
      </c>
      <c r="N37" s="412">
        <f t="shared" si="7"/>
        <v>645599</v>
      </c>
      <c r="O37" s="412">
        <f t="shared" si="7"/>
        <v>5548638</v>
      </c>
      <c r="P37" s="402"/>
    </row>
    <row r="38" spans="1:16" x14ac:dyDescent="0.2">
      <c r="A38" s="406">
        <v>24</v>
      </c>
      <c r="B38" s="406" t="s">
        <v>801</v>
      </c>
      <c r="C38" s="410">
        <f t="shared" ref="C38:N38" si="8">C18-C35</f>
        <v>-12944</v>
      </c>
      <c r="D38" s="410">
        <f t="shared" si="8"/>
        <v>-138009</v>
      </c>
      <c r="E38" s="410">
        <f t="shared" si="8"/>
        <v>390177</v>
      </c>
      <c r="F38" s="410">
        <f t="shared" si="8"/>
        <v>-150164</v>
      </c>
      <c r="G38" s="410">
        <f t="shared" si="8"/>
        <v>-37158</v>
      </c>
      <c r="H38" s="410">
        <f t="shared" si="8"/>
        <v>-421060</v>
      </c>
      <c r="I38" s="410">
        <f t="shared" si="8"/>
        <v>-149745</v>
      </c>
      <c r="J38" s="410">
        <f t="shared" si="8"/>
        <v>-227279</v>
      </c>
      <c r="K38" s="410">
        <f t="shared" si="8"/>
        <v>1876</v>
      </c>
      <c r="L38" s="410">
        <f t="shared" si="8"/>
        <v>-259306</v>
      </c>
      <c r="M38" s="410">
        <f t="shared" si="8"/>
        <v>-219006</v>
      </c>
      <c r="N38" s="410">
        <f t="shared" si="8"/>
        <v>-383412</v>
      </c>
      <c r="O38" s="411">
        <f>SUM(C38:N38)</f>
        <v>-1606030</v>
      </c>
      <c r="P38" s="402"/>
    </row>
    <row r="39" spans="1:16" x14ac:dyDescent="0.2">
      <c r="A39" s="406">
        <v>25</v>
      </c>
      <c r="B39" s="406" t="s">
        <v>802</v>
      </c>
      <c r="C39" s="410">
        <f t="shared" ref="C39:N39" si="9">C21-C37</f>
        <v>1619475</v>
      </c>
      <c r="D39" s="410">
        <f t="shared" si="9"/>
        <v>-138009</v>
      </c>
      <c r="E39" s="410">
        <f t="shared" si="9"/>
        <v>383580</v>
      </c>
      <c r="F39" s="410">
        <f t="shared" si="9"/>
        <v>-150164</v>
      </c>
      <c r="G39" s="410">
        <f t="shared" si="9"/>
        <v>-37158</v>
      </c>
      <c r="H39" s="410">
        <f t="shared" si="9"/>
        <v>-427657</v>
      </c>
      <c r="I39" s="410">
        <f t="shared" si="9"/>
        <v>-149745</v>
      </c>
      <c r="J39" s="410">
        <f t="shared" si="9"/>
        <v>-227279</v>
      </c>
      <c r="K39" s="410">
        <f t="shared" si="9"/>
        <v>-4721</v>
      </c>
      <c r="L39" s="410">
        <f t="shared" si="9"/>
        <v>-259306</v>
      </c>
      <c r="M39" s="410">
        <f t="shared" si="9"/>
        <v>-219006</v>
      </c>
      <c r="N39" s="410">
        <f t="shared" si="9"/>
        <v>-390010</v>
      </c>
      <c r="O39" s="411">
        <f>SUM(C39:N39)</f>
        <v>0</v>
      </c>
    </row>
    <row r="40" spans="1:16" x14ac:dyDescent="0.2">
      <c r="A40" s="406">
        <v>26</v>
      </c>
      <c r="B40" s="406" t="s">
        <v>803</v>
      </c>
      <c r="C40" s="410">
        <f>C21-C37</f>
        <v>1619475</v>
      </c>
      <c r="D40" s="410">
        <f t="shared" ref="D40:O40" si="10">C40+D21-D37</f>
        <v>1481466</v>
      </c>
      <c r="E40" s="410">
        <f t="shared" si="10"/>
        <v>1865046</v>
      </c>
      <c r="F40" s="410">
        <f t="shared" si="10"/>
        <v>1714882</v>
      </c>
      <c r="G40" s="410">
        <f t="shared" si="10"/>
        <v>1677724</v>
      </c>
      <c r="H40" s="410">
        <f t="shared" si="10"/>
        <v>1250067</v>
      </c>
      <c r="I40" s="410">
        <f t="shared" si="10"/>
        <v>1100322</v>
      </c>
      <c r="J40" s="410">
        <f t="shared" si="10"/>
        <v>873043</v>
      </c>
      <c r="K40" s="410">
        <f t="shared" si="10"/>
        <v>868322</v>
      </c>
      <c r="L40" s="410">
        <f t="shared" si="10"/>
        <v>609016</v>
      </c>
      <c r="M40" s="410">
        <f t="shared" si="10"/>
        <v>390010</v>
      </c>
      <c r="N40" s="410">
        <f t="shared" si="10"/>
        <v>0</v>
      </c>
      <c r="O40" s="410">
        <f t="shared" si="10"/>
        <v>0</v>
      </c>
    </row>
    <row r="42" spans="1:16" x14ac:dyDescent="0.2">
      <c r="E42" s="402"/>
      <c r="F42" s="402"/>
      <c r="G42" s="402"/>
      <c r="H42" s="402"/>
      <c r="I42" s="402"/>
      <c r="J42" s="402"/>
      <c r="K42" s="402"/>
      <c r="L42" s="402"/>
      <c r="M42" s="402"/>
      <c r="N42" s="402"/>
      <c r="O42" s="402"/>
    </row>
  </sheetData>
  <mergeCells count="1">
    <mergeCell ref="A3:O3"/>
  </mergeCells>
  <pageMargins left="0.19685039370078741" right="0.19685039370078741" top="0.35433070866141736" bottom="0.35433070866141736" header="0.31496062992125984" footer="0.31496062992125984"/>
  <pageSetup paperSize="9" scale="8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EE840-9819-4D32-805D-043D18EBAD53}">
  <sheetPr>
    <pageSetUpPr fitToPage="1"/>
  </sheetPr>
  <dimension ref="A1:S11"/>
  <sheetViews>
    <sheetView workbookViewId="0">
      <selection activeCell="S1" sqref="S1"/>
    </sheetView>
  </sheetViews>
  <sheetFormatPr defaultRowHeight="12.75" x14ac:dyDescent="0.2"/>
  <cols>
    <col min="1" max="3" width="9.140625" style="8"/>
    <col min="4" max="4" width="22.85546875" style="8" customWidth="1"/>
    <col min="5" max="5" width="9.140625" style="8"/>
    <col min="6" max="6" width="11.28515625" style="8" customWidth="1"/>
    <col min="7" max="8" width="9.140625" style="8"/>
    <col min="9" max="9" width="10.7109375" style="8" customWidth="1"/>
    <col min="10" max="10" width="10" style="8" customWidth="1"/>
    <col min="11" max="11" width="10.7109375" style="8" customWidth="1"/>
    <col min="12" max="13" width="9.140625" style="8"/>
    <col min="14" max="14" width="10.42578125" style="8" customWidth="1"/>
    <col min="15" max="15" width="7.28515625" style="8" bestFit="1" customWidth="1"/>
    <col min="16" max="16" width="9.140625" style="8" customWidth="1"/>
    <col min="17" max="261" width="9.140625" style="8"/>
    <col min="262" max="262" width="11.28515625" style="8" customWidth="1"/>
    <col min="263" max="269" width="9.140625" style="8"/>
    <col min="270" max="270" width="6" style="8" bestFit="1" customWidth="1"/>
    <col min="271" max="271" width="7.28515625" style="8" bestFit="1" customWidth="1"/>
    <col min="272" max="517" width="9.140625" style="8"/>
    <col min="518" max="518" width="11.28515625" style="8" customWidth="1"/>
    <col min="519" max="525" width="9.140625" style="8"/>
    <col min="526" max="526" width="6" style="8" bestFit="1" customWidth="1"/>
    <col min="527" max="527" width="7.28515625" style="8" bestFit="1" customWidth="1"/>
    <col min="528" max="773" width="9.140625" style="8"/>
    <col min="774" max="774" width="11.28515625" style="8" customWidth="1"/>
    <col min="775" max="781" width="9.140625" style="8"/>
    <col min="782" max="782" width="6" style="8" bestFit="1" customWidth="1"/>
    <col min="783" max="783" width="7.28515625" style="8" bestFit="1" customWidth="1"/>
    <col min="784" max="1029" width="9.140625" style="8"/>
    <col min="1030" max="1030" width="11.28515625" style="8" customWidth="1"/>
    <col min="1031" max="1037" width="9.140625" style="8"/>
    <col min="1038" max="1038" width="6" style="8" bestFit="1" customWidth="1"/>
    <col min="1039" max="1039" width="7.28515625" style="8" bestFit="1" customWidth="1"/>
    <col min="1040" max="1285" width="9.140625" style="8"/>
    <col min="1286" max="1286" width="11.28515625" style="8" customWidth="1"/>
    <col min="1287" max="1293" width="9.140625" style="8"/>
    <col min="1294" max="1294" width="6" style="8" bestFit="1" customWidth="1"/>
    <col min="1295" max="1295" width="7.28515625" style="8" bestFit="1" customWidth="1"/>
    <col min="1296" max="1541" width="9.140625" style="8"/>
    <col min="1542" max="1542" width="11.28515625" style="8" customWidth="1"/>
    <col min="1543" max="1549" width="9.140625" style="8"/>
    <col min="1550" max="1550" width="6" style="8" bestFit="1" customWidth="1"/>
    <col min="1551" max="1551" width="7.28515625" style="8" bestFit="1" customWidth="1"/>
    <col min="1552" max="1797" width="9.140625" style="8"/>
    <col min="1798" max="1798" width="11.28515625" style="8" customWidth="1"/>
    <col min="1799" max="1805" width="9.140625" style="8"/>
    <col min="1806" max="1806" width="6" style="8" bestFit="1" customWidth="1"/>
    <col min="1807" max="1807" width="7.28515625" style="8" bestFit="1" customWidth="1"/>
    <col min="1808" max="2053" width="9.140625" style="8"/>
    <col min="2054" max="2054" width="11.28515625" style="8" customWidth="1"/>
    <col min="2055" max="2061" width="9.140625" style="8"/>
    <col min="2062" max="2062" width="6" style="8" bestFit="1" customWidth="1"/>
    <col min="2063" max="2063" width="7.28515625" style="8" bestFit="1" customWidth="1"/>
    <col min="2064" max="2309" width="9.140625" style="8"/>
    <col min="2310" max="2310" width="11.28515625" style="8" customWidth="1"/>
    <col min="2311" max="2317" width="9.140625" style="8"/>
    <col min="2318" max="2318" width="6" style="8" bestFit="1" customWidth="1"/>
    <col min="2319" max="2319" width="7.28515625" style="8" bestFit="1" customWidth="1"/>
    <col min="2320" max="2565" width="9.140625" style="8"/>
    <col min="2566" max="2566" width="11.28515625" style="8" customWidth="1"/>
    <col min="2567" max="2573" width="9.140625" style="8"/>
    <col min="2574" max="2574" width="6" style="8" bestFit="1" customWidth="1"/>
    <col min="2575" max="2575" width="7.28515625" style="8" bestFit="1" customWidth="1"/>
    <col min="2576" max="2821" width="9.140625" style="8"/>
    <col min="2822" max="2822" width="11.28515625" style="8" customWidth="1"/>
    <col min="2823" max="2829" width="9.140625" style="8"/>
    <col min="2830" max="2830" width="6" style="8" bestFit="1" customWidth="1"/>
    <col min="2831" max="2831" width="7.28515625" style="8" bestFit="1" customWidth="1"/>
    <col min="2832" max="3077" width="9.140625" style="8"/>
    <col min="3078" max="3078" width="11.28515625" style="8" customWidth="1"/>
    <col min="3079" max="3085" width="9.140625" style="8"/>
    <col min="3086" max="3086" width="6" style="8" bestFit="1" customWidth="1"/>
    <col min="3087" max="3087" width="7.28515625" style="8" bestFit="1" customWidth="1"/>
    <col min="3088" max="3333" width="9.140625" style="8"/>
    <col min="3334" max="3334" width="11.28515625" style="8" customWidth="1"/>
    <col min="3335" max="3341" width="9.140625" style="8"/>
    <col min="3342" max="3342" width="6" style="8" bestFit="1" customWidth="1"/>
    <col min="3343" max="3343" width="7.28515625" style="8" bestFit="1" customWidth="1"/>
    <col min="3344" max="3589" width="9.140625" style="8"/>
    <col min="3590" max="3590" width="11.28515625" style="8" customWidth="1"/>
    <col min="3591" max="3597" width="9.140625" style="8"/>
    <col min="3598" max="3598" width="6" style="8" bestFit="1" customWidth="1"/>
    <col min="3599" max="3599" width="7.28515625" style="8" bestFit="1" customWidth="1"/>
    <col min="3600" max="3845" width="9.140625" style="8"/>
    <col min="3846" max="3846" width="11.28515625" style="8" customWidth="1"/>
    <col min="3847" max="3853" width="9.140625" style="8"/>
    <col min="3854" max="3854" width="6" style="8" bestFit="1" customWidth="1"/>
    <col min="3855" max="3855" width="7.28515625" style="8" bestFit="1" customWidth="1"/>
    <col min="3856" max="4101" width="9.140625" style="8"/>
    <col min="4102" max="4102" width="11.28515625" style="8" customWidth="1"/>
    <col min="4103" max="4109" width="9.140625" style="8"/>
    <col min="4110" max="4110" width="6" style="8" bestFit="1" customWidth="1"/>
    <col min="4111" max="4111" width="7.28515625" style="8" bestFit="1" customWidth="1"/>
    <col min="4112" max="4357" width="9.140625" style="8"/>
    <col min="4358" max="4358" width="11.28515625" style="8" customWidth="1"/>
    <col min="4359" max="4365" width="9.140625" style="8"/>
    <col min="4366" max="4366" width="6" style="8" bestFit="1" customWidth="1"/>
    <col min="4367" max="4367" width="7.28515625" style="8" bestFit="1" customWidth="1"/>
    <col min="4368" max="4613" width="9.140625" style="8"/>
    <col min="4614" max="4614" width="11.28515625" style="8" customWidth="1"/>
    <col min="4615" max="4621" width="9.140625" style="8"/>
    <col min="4622" max="4622" width="6" style="8" bestFit="1" customWidth="1"/>
    <col min="4623" max="4623" width="7.28515625" style="8" bestFit="1" customWidth="1"/>
    <col min="4624" max="4869" width="9.140625" style="8"/>
    <col min="4870" max="4870" width="11.28515625" style="8" customWidth="1"/>
    <col min="4871" max="4877" width="9.140625" style="8"/>
    <col min="4878" max="4878" width="6" style="8" bestFit="1" customWidth="1"/>
    <col min="4879" max="4879" width="7.28515625" style="8" bestFit="1" customWidth="1"/>
    <col min="4880" max="5125" width="9.140625" style="8"/>
    <col min="5126" max="5126" width="11.28515625" style="8" customWidth="1"/>
    <col min="5127" max="5133" width="9.140625" style="8"/>
    <col min="5134" max="5134" width="6" style="8" bestFit="1" customWidth="1"/>
    <col min="5135" max="5135" width="7.28515625" style="8" bestFit="1" customWidth="1"/>
    <col min="5136" max="5381" width="9.140625" style="8"/>
    <col min="5382" max="5382" width="11.28515625" style="8" customWidth="1"/>
    <col min="5383" max="5389" width="9.140625" style="8"/>
    <col min="5390" max="5390" width="6" style="8" bestFit="1" customWidth="1"/>
    <col min="5391" max="5391" width="7.28515625" style="8" bestFit="1" customWidth="1"/>
    <col min="5392" max="5637" width="9.140625" style="8"/>
    <col min="5638" max="5638" width="11.28515625" style="8" customWidth="1"/>
    <col min="5639" max="5645" width="9.140625" style="8"/>
    <col min="5646" max="5646" width="6" style="8" bestFit="1" customWidth="1"/>
    <col min="5647" max="5647" width="7.28515625" style="8" bestFit="1" customWidth="1"/>
    <col min="5648" max="5893" width="9.140625" style="8"/>
    <col min="5894" max="5894" width="11.28515625" style="8" customWidth="1"/>
    <col min="5895" max="5901" width="9.140625" style="8"/>
    <col min="5902" max="5902" width="6" style="8" bestFit="1" customWidth="1"/>
    <col min="5903" max="5903" width="7.28515625" style="8" bestFit="1" customWidth="1"/>
    <col min="5904" max="6149" width="9.140625" style="8"/>
    <col min="6150" max="6150" width="11.28515625" style="8" customWidth="1"/>
    <col min="6151" max="6157" width="9.140625" style="8"/>
    <col min="6158" max="6158" width="6" style="8" bestFit="1" customWidth="1"/>
    <col min="6159" max="6159" width="7.28515625" style="8" bestFit="1" customWidth="1"/>
    <col min="6160" max="6405" width="9.140625" style="8"/>
    <col min="6406" max="6406" width="11.28515625" style="8" customWidth="1"/>
    <col min="6407" max="6413" width="9.140625" style="8"/>
    <col min="6414" max="6414" width="6" style="8" bestFit="1" customWidth="1"/>
    <col min="6415" max="6415" width="7.28515625" style="8" bestFit="1" customWidth="1"/>
    <col min="6416" max="6661" width="9.140625" style="8"/>
    <col min="6662" max="6662" width="11.28515625" style="8" customWidth="1"/>
    <col min="6663" max="6669" width="9.140625" style="8"/>
    <col min="6670" max="6670" width="6" style="8" bestFit="1" customWidth="1"/>
    <col min="6671" max="6671" width="7.28515625" style="8" bestFit="1" customWidth="1"/>
    <col min="6672" max="6917" width="9.140625" style="8"/>
    <col min="6918" max="6918" width="11.28515625" style="8" customWidth="1"/>
    <col min="6919" max="6925" width="9.140625" style="8"/>
    <col min="6926" max="6926" width="6" style="8" bestFit="1" customWidth="1"/>
    <col min="6927" max="6927" width="7.28515625" style="8" bestFit="1" customWidth="1"/>
    <col min="6928" max="7173" width="9.140625" style="8"/>
    <col min="7174" max="7174" width="11.28515625" style="8" customWidth="1"/>
    <col min="7175" max="7181" width="9.140625" style="8"/>
    <col min="7182" max="7182" width="6" style="8" bestFit="1" customWidth="1"/>
    <col min="7183" max="7183" width="7.28515625" style="8" bestFit="1" customWidth="1"/>
    <col min="7184" max="7429" width="9.140625" style="8"/>
    <col min="7430" max="7430" width="11.28515625" style="8" customWidth="1"/>
    <col min="7431" max="7437" width="9.140625" style="8"/>
    <col min="7438" max="7438" width="6" style="8" bestFit="1" customWidth="1"/>
    <col min="7439" max="7439" width="7.28515625" style="8" bestFit="1" customWidth="1"/>
    <col min="7440" max="7685" width="9.140625" style="8"/>
    <col min="7686" max="7686" width="11.28515625" style="8" customWidth="1"/>
    <col min="7687" max="7693" width="9.140625" style="8"/>
    <col min="7694" max="7694" width="6" style="8" bestFit="1" customWidth="1"/>
    <col min="7695" max="7695" width="7.28515625" style="8" bestFit="1" customWidth="1"/>
    <col min="7696" max="7941" width="9.140625" style="8"/>
    <col min="7942" max="7942" width="11.28515625" style="8" customWidth="1"/>
    <col min="7943" max="7949" width="9.140625" style="8"/>
    <col min="7950" max="7950" width="6" style="8" bestFit="1" customWidth="1"/>
    <col min="7951" max="7951" width="7.28515625" style="8" bestFit="1" customWidth="1"/>
    <col min="7952" max="8197" width="9.140625" style="8"/>
    <col min="8198" max="8198" width="11.28515625" style="8" customWidth="1"/>
    <col min="8199" max="8205" width="9.140625" style="8"/>
    <col min="8206" max="8206" width="6" style="8" bestFit="1" customWidth="1"/>
    <col min="8207" max="8207" width="7.28515625" style="8" bestFit="1" customWidth="1"/>
    <col min="8208" max="8453" width="9.140625" style="8"/>
    <col min="8454" max="8454" width="11.28515625" style="8" customWidth="1"/>
    <col min="8455" max="8461" width="9.140625" style="8"/>
    <col min="8462" max="8462" width="6" style="8" bestFit="1" customWidth="1"/>
    <col min="8463" max="8463" width="7.28515625" style="8" bestFit="1" customWidth="1"/>
    <col min="8464" max="8709" width="9.140625" style="8"/>
    <col min="8710" max="8710" width="11.28515625" style="8" customWidth="1"/>
    <col min="8711" max="8717" width="9.140625" style="8"/>
    <col min="8718" max="8718" width="6" style="8" bestFit="1" customWidth="1"/>
    <col min="8719" max="8719" width="7.28515625" style="8" bestFit="1" customWidth="1"/>
    <col min="8720" max="8965" width="9.140625" style="8"/>
    <col min="8966" max="8966" width="11.28515625" style="8" customWidth="1"/>
    <col min="8967" max="8973" width="9.140625" style="8"/>
    <col min="8974" max="8974" width="6" style="8" bestFit="1" customWidth="1"/>
    <col min="8975" max="8975" width="7.28515625" style="8" bestFit="1" customWidth="1"/>
    <col min="8976" max="9221" width="9.140625" style="8"/>
    <col min="9222" max="9222" width="11.28515625" style="8" customWidth="1"/>
    <col min="9223" max="9229" width="9.140625" style="8"/>
    <col min="9230" max="9230" width="6" style="8" bestFit="1" customWidth="1"/>
    <col min="9231" max="9231" width="7.28515625" style="8" bestFit="1" customWidth="1"/>
    <col min="9232" max="9477" width="9.140625" style="8"/>
    <col min="9478" max="9478" width="11.28515625" style="8" customWidth="1"/>
    <col min="9479" max="9485" width="9.140625" style="8"/>
    <col min="9486" max="9486" width="6" style="8" bestFit="1" customWidth="1"/>
    <col min="9487" max="9487" width="7.28515625" style="8" bestFit="1" customWidth="1"/>
    <col min="9488" max="9733" width="9.140625" style="8"/>
    <col min="9734" max="9734" width="11.28515625" style="8" customWidth="1"/>
    <col min="9735" max="9741" width="9.140625" style="8"/>
    <col min="9742" max="9742" width="6" style="8" bestFit="1" customWidth="1"/>
    <col min="9743" max="9743" width="7.28515625" style="8" bestFit="1" customWidth="1"/>
    <col min="9744" max="9989" width="9.140625" style="8"/>
    <col min="9990" max="9990" width="11.28515625" style="8" customWidth="1"/>
    <col min="9991" max="9997" width="9.140625" style="8"/>
    <col min="9998" max="9998" width="6" style="8" bestFit="1" customWidth="1"/>
    <col min="9999" max="9999" width="7.28515625" style="8" bestFit="1" customWidth="1"/>
    <col min="10000" max="10245" width="9.140625" style="8"/>
    <col min="10246" max="10246" width="11.28515625" style="8" customWidth="1"/>
    <col min="10247" max="10253" width="9.140625" style="8"/>
    <col min="10254" max="10254" width="6" style="8" bestFit="1" customWidth="1"/>
    <col min="10255" max="10255" width="7.28515625" style="8" bestFit="1" customWidth="1"/>
    <col min="10256" max="10501" width="9.140625" style="8"/>
    <col min="10502" max="10502" width="11.28515625" style="8" customWidth="1"/>
    <col min="10503" max="10509" width="9.140625" style="8"/>
    <col min="10510" max="10510" width="6" style="8" bestFit="1" customWidth="1"/>
    <col min="10511" max="10511" width="7.28515625" style="8" bestFit="1" customWidth="1"/>
    <col min="10512" max="10757" width="9.140625" style="8"/>
    <col min="10758" max="10758" width="11.28515625" style="8" customWidth="1"/>
    <col min="10759" max="10765" width="9.140625" style="8"/>
    <col min="10766" max="10766" width="6" style="8" bestFit="1" customWidth="1"/>
    <col min="10767" max="10767" width="7.28515625" style="8" bestFit="1" customWidth="1"/>
    <col min="10768" max="11013" width="9.140625" style="8"/>
    <col min="11014" max="11014" width="11.28515625" style="8" customWidth="1"/>
    <col min="11015" max="11021" width="9.140625" style="8"/>
    <col min="11022" max="11022" width="6" style="8" bestFit="1" customWidth="1"/>
    <col min="11023" max="11023" width="7.28515625" style="8" bestFit="1" customWidth="1"/>
    <col min="11024" max="11269" width="9.140625" style="8"/>
    <col min="11270" max="11270" width="11.28515625" style="8" customWidth="1"/>
    <col min="11271" max="11277" width="9.140625" style="8"/>
    <col min="11278" max="11278" width="6" style="8" bestFit="1" customWidth="1"/>
    <col min="11279" max="11279" width="7.28515625" style="8" bestFit="1" customWidth="1"/>
    <col min="11280" max="11525" width="9.140625" style="8"/>
    <col min="11526" max="11526" width="11.28515625" style="8" customWidth="1"/>
    <col min="11527" max="11533" width="9.140625" style="8"/>
    <col min="11534" max="11534" width="6" style="8" bestFit="1" customWidth="1"/>
    <col min="11535" max="11535" width="7.28515625" style="8" bestFit="1" customWidth="1"/>
    <col min="11536" max="11781" width="9.140625" style="8"/>
    <col min="11782" max="11782" width="11.28515625" style="8" customWidth="1"/>
    <col min="11783" max="11789" width="9.140625" style="8"/>
    <col min="11790" max="11790" width="6" style="8" bestFit="1" customWidth="1"/>
    <col min="11791" max="11791" width="7.28515625" style="8" bestFit="1" customWidth="1"/>
    <col min="11792" max="12037" width="9.140625" style="8"/>
    <col min="12038" max="12038" width="11.28515625" style="8" customWidth="1"/>
    <col min="12039" max="12045" width="9.140625" style="8"/>
    <col min="12046" max="12046" width="6" style="8" bestFit="1" customWidth="1"/>
    <col min="12047" max="12047" width="7.28515625" style="8" bestFit="1" customWidth="1"/>
    <col min="12048" max="12293" width="9.140625" style="8"/>
    <col min="12294" max="12294" width="11.28515625" style="8" customWidth="1"/>
    <col min="12295" max="12301" width="9.140625" style="8"/>
    <col min="12302" max="12302" width="6" style="8" bestFit="1" customWidth="1"/>
    <col min="12303" max="12303" width="7.28515625" style="8" bestFit="1" customWidth="1"/>
    <col min="12304" max="12549" width="9.140625" style="8"/>
    <col min="12550" max="12550" width="11.28515625" style="8" customWidth="1"/>
    <col min="12551" max="12557" width="9.140625" style="8"/>
    <col min="12558" max="12558" width="6" style="8" bestFit="1" customWidth="1"/>
    <col min="12559" max="12559" width="7.28515625" style="8" bestFit="1" customWidth="1"/>
    <col min="12560" max="12805" width="9.140625" style="8"/>
    <col min="12806" max="12806" width="11.28515625" style="8" customWidth="1"/>
    <col min="12807" max="12813" width="9.140625" style="8"/>
    <col min="12814" max="12814" width="6" style="8" bestFit="1" customWidth="1"/>
    <col min="12815" max="12815" width="7.28515625" style="8" bestFit="1" customWidth="1"/>
    <col min="12816" max="13061" width="9.140625" style="8"/>
    <col min="13062" max="13062" width="11.28515625" style="8" customWidth="1"/>
    <col min="13063" max="13069" width="9.140625" style="8"/>
    <col min="13070" max="13070" width="6" style="8" bestFit="1" customWidth="1"/>
    <col min="13071" max="13071" width="7.28515625" style="8" bestFit="1" customWidth="1"/>
    <col min="13072" max="13317" width="9.140625" style="8"/>
    <col min="13318" max="13318" width="11.28515625" style="8" customWidth="1"/>
    <col min="13319" max="13325" width="9.140625" style="8"/>
    <col min="13326" max="13326" width="6" style="8" bestFit="1" customWidth="1"/>
    <col min="13327" max="13327" width="7.28515625" style="8" bestFit="1" customWidth="1"/>
    <col min="13328" max="13573" width="9.140625" style="8"/>
    <col min="13574" max="13574" width="11.28515625" style="8" customWidth="1"/>
    <col min="13575" max="13581" width="9.140625" style="8"/>
    <col min="13582" max="13582" width="6" style="8" bestFit="1" customWidth="1"/>
    <col min="13583" max="13583" width="7.28515625" style="8" bestFit="1" customWidth="1"/>
    <col min="13584" max="13829" width="9.140625" style="8"/>
    <col min="13830" max="13830" width="11.28515625" style="8" customWidth="1"/>
    <col min="13831" max="13837" width="9.140625" style="8"/>
    <col min="13838" max="13838" width="6" style="8" bestFit="1" customWidth="1"/>
    <col min="13839" max="13839" width="7.28515625" style="8" bestFit="1" customWidth="1"/>
    <col min="13840" max="14085" width="9.140625" style="8"/>
    <col min="14086" max="14086" width="11.28515625" style="8" customWidth="1"/>
    <col min="14087" max="14093" width="9.140625" style="8"/>
    <col min="14094" max="14094" width="6" style="8" bestFit="1" customWidth="1"/>
    <col min="14095" max="14095" width="7.28515625" style="8" bestFit="1" customWidth="1"/>
    <col min="14096" max="14341" width="9.140625" style="8"/>
    <col min="14342" max="14342" width="11.28515625" style="8" customWidth="1"/>
    <col min="14343" max="14349" width="9.140625" style="8"/>
    <col min="14350" max="14350" width="6" style="8" bestFit="1" customWidth="1"/>
    <col min="14351" max="14351" width="7.28515625" style="8" bestFit="1" customWidth="1"/>
    <col min="14352" max="14597" width="9.140625" style="8"/>
    <col min="14598" max="14598" width="11.28515625" style="8" customWidth="1"/>
    <col min="14599" max="14605" width="9.140625" style="8"/>
    <col min="14606" max="14606" width="6" style="8" bestFit="1" customWidth="1"/>
    <col min="14607" max="14607" width="7.28515625" style="8" bestFit="1" customWidth="1"/>
    <col min="14608" max="14853" width="9.140625" style="8"/>
    <col min="14854" max="14854" width="11.28515625" style="8" customWidth="1"/>
    <col min="14855" max="14861" width="9.140625" style="8"/>
    <col min="14862" max="14862" width="6" style="8" bestFit="1" customWidth="1"/>
    <col min="14863" max="14863" width="7.28515625" style="8" bestFit="1" customWidth="1"/>
    <col min="14864" max="15109" width="9.140625" style="8"/>
    <col min="15110" max="15110" width="11.28515625" style="8" customWidth="1"/>
    <col min="15111" max="15117" width="9.140625" style="8"/>
    <col min="15118" max="15118" width="6" style="8" bestFit="1" customWidth="1"/>
    <col min="15119" max="15119" width="7.28515625" style="8" bestFit="1" customWidth="1"/>
    <col min="15120" max="15365" width="9.140625" style="8"/>
    <col min="15366" max="15366" width="11.28515625" style="8" customWidth="1"/>
    <col min="15367" max="15373" width="9.140625" style="8"/>
    <col min="15374" max="15374" width="6" style="8" bestFit="1" customWidth="1"/>
    <col min="15375" max="15375" width="7.28515625" style="8" bestFit="1" customWidth="1"/>
    <col min="15376" max="15621" width="9.140625" style="8"/>
    <col min="15622" max="15622" width="11.28515625" style="8" customWidth="1"/>
    <col min="15623" max="15629" width="9.140625" style="8"/>
    <col min="15630" max="15630" width="6" style="8" bestFit="1" customWidth="1"/>
    <col min="15631" max="15631" width="7.28515625" style="8" bestFit="1" customWidth="1"/>
    <col min="15632" max="15877" width="9.140625" style="8"/>
    <col min="15878" max="15878" width="11.28515625" style="8" customWidth="1"/>
    <col min="15879" max="15885" width="9.140625" style="8"/>
    <col min="15886" max="15886" width="6" style="8" bestFit="1" customWidth="1"/>
    <col min="15887" max="15887" width="7.28515625" style="8" bestFit="1" customWidth="1"/>
    <col min="15888" max="16133" width="9.140625" style="8"/>
    <col min="16134" max="16134" width="11.28515625" style="8" customWidth="1"/>
    <col min="16135" max="16141" width="9.140625" style="8"/>
    <col min="16142" max="16142" width="6" style="8" bestFit="1" customWidth="1"/>
    <col min="16143" max="16143" width="7.28515625" style="8" bestFit="1" customWidth="1"/>
    <col min="16144" max="16384" width="9.140625" style="8"/>
  </cols>
  <sheetData>
    <row r="1" spans="1:19" ht="15" x14ac:dyDescent="0.25">
      <c r="S1" s="13" t="s">
        <v>956</v>
      </c>
    </row>
    <row r="2" spans="1:19" ht="15" x14ac:dyDescent="0.25">
      <c r="A2" s="403"/>
      <c r="B2" s="403"/>
      <c r="C2" s="403"/>
      <c r="D2" s="403"/>
      <c r="E2" s="403"/>
      <c r="F2" s="403"/>
      <c r="G2" s="403"/>
      <c r="H2" s="403"/>
      <c r="I2" s="403"/>
      <c r="J2" s="403"/>
      <c r="K2" s="403"/>
      <c r="L2" s="403"/>
      <c r="M2" s="403"/>
      <c r="N2" s="403"/>
      <c r="O2" s="403"/>
      <c r="P2" s="403"/>
      <c r="Q2" s="403"/>
      <c r="R2" s="403"/>
      <c r="S2" s="13"/>
    </row>
    <row r="3" spans="1:19" x14ac:dyDescent="0.2">
      <c r="A3" s="675" t="s">
        <v>816</v>
      </c>
      <c r="B3" s="675"/>
      <c r="C3" s="675"/>
      <c r="D3" s="675"/>
      <c r="E3" s="675"/>
      <c r="F3" s="675"/>
      <c r="G3" s="675"/>
      <c r="H3" s="675"/>
      <c r="I3" s="675"/>
      <c r="J3" s="675"/>
      <c r="K3" s="675"/>
      <c r="L3" s="675"/>
      <c r="M3" s="675"/>
      <c r="N3" s="675"/>
      <c r="O3" s="675"/>
      <c r="P3" s="675"/>
      <c r="Q3" s="675"/>
      <c r="R3" s="675"/>
      <c r="S3" s="675"/>
    </row>
    <row r="4" spans="1:19" x14ac:dyDescent="0.2">
      <c r="A4" s="675"/>
      <c r="B4" s="675"/>
      <c r="C4" s="675"/>
      <c r="D4" s="675"/>
      <c r="E4" s="675"/>
      <c r="F4" s="675"/>
      <c r="G4" s="675"/>
      <c r="H4" s="675"/>
      <c r="I4" s="675"/>
      <c r="J4" s="675"/>
      <c r="K4" s="675"/>
      <c r="L4" s="675"/>
      <c r="M4" s="675"/>
      <c r="N4" s="675"/>
      <c r="O4" s="675"/>
      <c r="P4" s="675"/>
      <c r="Q4" s="675"/>
      <c r="R4" s="675"/>
      <c r="S4" s="675"/>
    </row>
    <row r="5" spans="1:19" ht="19.5" thickBot="1" x14ac:dyDescent="0.35">
      <c r="A5" s="401"/>
      <c r="B5" s="401"/>
      <c r="C5" s="401"/>
      <c r="D5" s="401"/>
      <c r="E5" s="401"/>
      <c r="F5" s="401"/>
      <c r="G5" s="401"/>
      <c r="H5" s="401"/>
      <c r="I5" s="401"/>
      <c r="J5" s="401"/>
      <c r="K5" s="401"/>
      <c r="L5" s="401"/>
      <c r="M5" s="401"/>
      <c r="N5" s="401"/>
      <c r="O5" s="401"/>
      <c r="P5" s="401"/>
      <c r="Q5" s="417"/>
      <c r="R5" s="401"/>
      <c r="S5" s="418" t="s">
        <v>23</v>
      </c>
    </row>
    <row r="6" spans="1:19" ht="77.25" thickTop="1" x14ac:dyDescent="0.2">
      <c r="A6" s="419"/>
      <c r="B6" s="420"/>
      <c r="C6" s="420"/>
      <c r="D6" s="421"/>
      <c r="E6" s="422" t="s">
        <v>790</v>
      </c>
      <c r="F6" s="423" t="s">
        <v>73</v>
      </c>
      <c r="G6" s="422" t="s">
        <v>25</v>
      </c>
      <c r="H6" s="422" t="s">
        <v>45</v>
      </c>
      <c r="I6" s="422" t="s">
        <v>46</v>
      </c>
      <c r="J6" s="422" t="s">
        <v>18</v>
      </c>
      <c r="K6" s="424" t="s">
        <v>219</v>
      </c>
      <c r="L6" s="425" t="s">
        <v>804</v>
      </c>
      <c r="M6" s="426" t="s">
        <v>805</v>
      </c>
      <c r="N6" s="422" t="s">
        <v>806</v>
      </c>
      <c r="O6" s="422" t="s">
        <v>807</v>
      </c>
      <c r="P6" s="422" t="s">
        <v>808</v>
      </c>
      <c r="Q6" s="427" t="s">
        <v>809</v>
      </c>
      <c r="R6" s="427" t="s">
        <v>219</v>
      </c>
      <c r="S6" s="428" t="s">
        <v>810</v>
      </c>
    </row>
    <row r="7" spans="1:19" x14ac:dyDescent="0.2">
      <c r="A7" s="429" t="s">
        <v>817</v>
      </c>
      <c r="B7" s="430"/>
      <c r="C7" s="430"/>
      <c r="D7" s="431"/>
      <c r="E7" s="410" t="e">
        <f>#REF!</f>
        <v>#REF!</v>
      </c>
      <c r="F7" s="410" t="e">
        <f>#REF!</f>
        <v>#REF!</v>
      </c>
      <c r="G7" s="410" t="e">
        <f>#REF!</f>
        <v>#REF!</v>
      </c>
      <c r="H7" s="410">
        <v>0</v>
      </c>
      <c r="I7" s="410" t="e">
        <f>#REF!</f>
        <v>#REF!</v>
      </c>
      <c r="J7" s="410">
        <v>0</v>
      </c>
      <c r="K7" s="432" t="e">
        <f>SUM(E7:J7)</f>
        <v>#REF!</v>
      </c>
      <c r="L7" s="433" t="e">
        <f>#REF!</f>
        <v>#REF!</v>
      </c>
      <c r="M7" s="434">
        <v>0</v>
      </c>
      <c r="N7" s="410">
        <v>0</v>
      </c>
      <c r="O7" s="410" t="e">
        <f>#REF!</f>
        <v>#REF!</v>
      </c>
      <c r="P7" s="410">
        <v>451833</v>
      </c>
      <c r="Q7" s="410">
        <v>97496</v>
      </c>
      <c r="R7" s="410" t="e">
        <f>SUM(L7:Q7)</f>
        <v>#REF!</v>
      </c>
      <c r="S7" s="435">
        <f>P7+Q7</f>
        <v>549329</v>
      </c>
    </row>
    <row r="8" spans="1:19" x14ac:dyDescent="0.2">
      <c r="A8" s="436" t="s">
        <v>155</v>
      </c>
      <c r="B8" s="437"/>
      <c r="C8" s="437"/>
      <c r="D8" s="438"/>
      <c r="E8" s="410" t="e">
        <f>#REF!</f>
        <v>#REF!</v>
      </c>
      <c r="F8" s="410" t="e">
        <f>#REF!</f>
        <v>#REF!</v>
      </c>
      <c r="G8" s="410" t="e">
        <f>#REF!</f>
        <v>#REF!</v>
      </c>
      <c r="H8" s="410">
        <v>0</v>
      </c>
      <c r="I8" s="410" t="e">
        <f>#REF!</f>
        <v>#REF!</v>
      </c>
      <c r="J8" s="410" t="e">
        <f>#REF!</f>
        <v>#REF!</v>
      </c>
      <c r="K8" s="432" t="e">
        <f t="shared" ref="K8:K9" si="0">SUM(E8:J8)</f>
        <v>#REF!</v>
      </c>
      <c r="L8" s="433" t="e">
        <f>#REF!</f>
        <v>#REF!</v>
      </c>
      <c r="M8" s="434">
        <v>0</v>
      </c>
      <c r="N8" s="410">
        <v>0</v>
      </c>
      <c r="O8" s="410" t="e">
        <f>#REF!</f>
        <v>#REF!</v>
      </c>
      <c r="P8" s="410">
        <v>52852</v>
      </c>
      <c r="Q8" s="410">
        <v>93338</v>
      </c>
      <c r="R8" s="410" t="e">
        <f t="shared" ref="R8:R9" si="1">SUM(L8:Q8)</f>
        <v>#REF!</v>
      </c>
      <c r="S8" s="435">
        <f t="shared" ref="S8:S9" si="2">P8+Q8</f>
        <v>146190</v>
      </c>
    </row>
    <row r="9" spans="1:19" ht="13.5" thickBot="1" x14ac:dyDescent="0.25">
      <c r="A9" s="439" t="s">
        <v>43</v>
      </c>
      <c r="B9" s="440"/>
      <c r="C9" s="440"/>
      <c r="D9" s="441"/>
      <c r="E9" s="442" t="e">
        <f>#REF!</f>
        <v>#REF!</v>
      </c>
      <c r="F9" s="442" t="e">
        <f>#REF!</f>
        <v>#REF!</v>
      </c>
      <c r="G9" s="442" t="e">
        <f>#REF!</f>
        <v>#REF!</v>
      </c>
      <c r="H9" s="442">
        <v>0</v>
      </c>
      <c r="I9" s="442" t="e">
        <f>#REF!</f>
        <v>#REF!</v>
      </c>
      <c r="J9" s="442">
        <v>0</v>
      </c>
      <c r="K9" s="443" t="e">
        <f t="shared" si="0"/>
        <v>#REF!</v>
      </c>
      <c r="L9" s="444" t="e">
        <f>#REF!</f>
        <v>#REF!</v>
      </c>
      <c r="M9" s="445">
        <v>0</v>
      </c>
      <c r="N9" s="442">
        <v>0</v>
      </c>
      <c r="O9" s="442">
        <v>0</v>
      </c>
      <c r="P9" s="442">
        <v>286914</v>
      </c>
      <c r="Q9" s="410">
        <v>164683</v>
      </c>
      <c r="R9" s="442" t="e">
        <f t="shared" si="1"/>
        <v>#REF!</v>
      </c>
      <c r="S9" s="446">
        <f t="shared" si="2"/>
        <v>451597</v>
      </c>
    </row>
    <row r="10" spans="1:19" ht="14.25" thickTop="1" thickBot="1" x14ac:dyDescent="0.25">
      <c r="A10" s="676" t="s">
        <v>22</v>
      </c>
      <c r="B10" s="677"/>
      <c r="C10" s="677"/>
      <c r="D10" s="678"/>
      <c r="E10" s="447" t="e">
        <f>SUM(E7:E9)</f>
        <v>#REF!</v>
      </c>
      <c r="F10" s="447" t="e">
        <f t="shared" ref="F10:S10" si="3">SUM(F7:F9)</f>
        <v>#REF!</v>
      </c>
      <c r="G10" s="447" t="e">
        <f t="shared" si="3"/>
        <v>#REF!</v>
      </c>
      <c r="H10" s="447">
        <f t="shared" si="3"/>
        <v>0</v>
      </c>
      <c r="I10" s="447" t="e">
        <f t="shared" si="3"/>
        <v>#REF!</v>
      </c>
      <c r="J10" s="447" t="e">
        <f t="shared" si="3"/>
        <v>#REF!</v>
      </c>
      <c r="K10" s="448" t="e">
        <f t="shared" si="3"/>
        <v>#REF!</v>
      </c>
      <c r="L10" s="449" t="e">
        <f t="shared" si="3"/>
        <v>#REF!</v>
      </c>
      <c r="M10" s="447">
        <f t="shared" si="3"/>
        <v>0</v>
      </c>
      <c r="N10" s="447">
        <f t="shared" si="3"/>
        <v>0</v>
      </c>
      <c r="O10" s="447" t="e">
        <f t="shared" si="3"/>
        <v>#REF!</v>
      </c>
      <c r="P10" s="447">
        <f t="shared" si="3"/>
        <v>791599</v>
      </c>
      <c r="Q10" s="447">
        <f t="shared" si="3"/>
        <v>355517</v>
      </c>
      <c r="R10" s="447" t="e">
        <f t="shared" si="3"/>
        <v>#REF!</v>
      </c>
      <c r="S10" s="448">
        <f t="shared" si="3"/>
        <v>1147116</v>
      </c>
    </row>
    <row r="11" spans="1:19" ht="13.5" thickTop="1" x14ac:dyDescent="0.2"/>
  </sheetData>
  <mergeCells count="2">
    <mergeCell ref="A3:S4"/>
    <mergeCell ref="A10:D10"/>
  </mergeCells>
  <pageMargins left="0.7" right="0.7" top="0.75" bottom="0.75" header="0.3" footer="0.3"/>
  <pageSetup paperSize="9" scale="6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B177D-AA2D-4373-A802-2EA31E050D96}">
  <dimension ref="A1:I17"/>
  <sheetViews>
    <sheetView workbookViewId="0">
      <selection sqref="A1:I1"/>
    </sheetView>
  </sheetViews>
  <sheetFormatPr defaultColWidth="9.140625" defaultRowHeight="15" x14ac:dyDescent="0.25"/>
  <cols>
    <col min="1" max="16384" width="9.140625" style="451"/>
  </cols>
  <sheetData>
    <row r="1" spans="1:9" ht="15.75" x14ac:dyDescent="0.25">
      <c r="A1" s="679" t="s">
        <v>955</v>
      </c>
      <c r="B1" s="679"/>
      <c r="C1" s="679"/>
      <c r="D1" s="679"/>
      <c r="E1" s="679"/>
      <c r="F1" s="679"/>
      <c r="G1" s="679"/>
      <c r="H1" s="679"/>
      <c r="I1" s="679"/>
    </row>
    <row r="2" spans="1:9" ht="15.75" x14ac:dyDescent="0.25">
      <c r="A2" s="450"/>
      <c r="B2" s="450"/>
      <c r="C2" s="450"/>
      <c r="D2" s="450"/>
      <c r="E2" s="450"/>
      <c r="F2" s="450"/>
      <c r="G2" s="452"/>
      <c r="H2" s="450"/>
      <c r="I2" s="8"/>
    </row>
    <row r="3" spans="1:9" ht="15.75" x14ac:dyDescent="0.25">
      <c r="A3" s="680" t="s">
        <v>912</v>
      </c>
      <c r="B3" s="680"/>
      <c r="C3" s="680"/>
      <c r="D3" s="680"/>
      <c r="E3" s="680"/>
      <c r="F3" s="680"/>
      <c r="G3" s="680"/>
      <c r="H3" s="680"/>
      <c r="I3" s="680"/>
    </row>
    <row r="4" spans="1:9" ht="15.75" x14ac:dyDescent="0.25">
      <c r="A4" s="680" t="s">
        <v>811</v>
      </c>
      <c r="B4" s="680"/>
      <c r="C4" s="680"/>
      <c r="D4" s="680"/>
      <c r="E4" s="680"/>
      <c r="F4" s="680"/>
      <c r="G4" s="680"/>
      <c r="H4" s="680"/>
      <c r="I4" s="680"/>
    </row>
    <row r="5" spans="1:9" ht="15.75" x14ac:dyDescent="0.25">
      <c r="A5" s="453"/>
      <c r="B5" s="453"/>
      <c r="C5" s="453"/>
      <c r="D5" s="453"/>
      <c r="E5" s="453"/>
      <c r="F5" s="453"/>
      <c r="G5" s="454"/>
      <c r="H5" s="455"/>
      <c r="I5" s="8"/>
    </row>
    <row r="6" spans="1:9" ht="15.75" x14ac:dyDescent="0.25">
      <c r="A6" s="455"/>
      <c r="B6" s="455"/>
      <c r="C6" s="455"/>
      <c r="D6" s="455"/>
      <c r="E6" s="455"/>
      <c r="F6" s="455"/>
      <c r="G6" s="452" t="s">
        <v>23</v>
      </c>
      <c r="H6" s="455"/>
      <c r="I6" s="8"/>
    </row>
    <row r="7" spans="1:9" ht="15.75" x14ac:dyDescent="0.25">
      <c r="A7" s="455"/>
      <c r="B7" s="455"/>
      <c r="C7" s="455"/>
      <c r="D7" s="455"/>
      <c r="E7" s="455"/>
      <c r="F7" s="455"/>
      <c r="G7" s="452" t="s">
        <v>23</v>
      </c>
      <c r="H7" s="455"/>
      <c r="I7" s="8"/>
    </row>
    <row r="8" spans="1:9" ht="15.75" x14ac:dyDescent="0.25">
      <c r="A8" s="455" t="s">
        <v>812</v>
      </c>
      <c r="B8" s="455"/>
      <c r="C8" s="455"/>
      <c r="D8" s="455"/>
      <c r="E8" s="455"/>
      <c r="F8" s="455"/>
      <c r="G8" s="456">
        <v>500</v>
      </c>
      <c r="H8" s="455"/>
      <c r="I8" s="8"/>
    </row>
    <row r="9" spans="1:9" ht="15.75" x14ac:dyDescent="0.25">
      <c r="A9" s="455" t="s">
        <v>813</v>
      </c>
      <c r="B9" s="455"/>
      <c r="C9" s="455"/>
      <c r="D9" s="455"/>
      <c r="E9" s="455"/>
      <c r="F9" s="455"/>
      <c r="G9" s="456">
        <v>200</v>
      </c>
      <c r="H9" s="455"/>
      <c r="I9" s="8"/>
    </row>
    <row r="10" spans="1:9" ht="15.75" x14ac:dyDescent="0.25">
      <c r="A10" s="455" t="s">
        <v>814</v>
      </c>
      <c r="B10" s="455"/>
      <c r="C10" s="455"/>
      <c r="D10" s="455"/>
      <c r="E10" s="455"/>
      <c r="F10" s="455"/>
      <c r="G10" s="456">
        <v>500</v>
      </c>
      <c r="H10" s="455"/>
      <c r="I10" s="8"/>
    </row>
    <row r="11" spans="1:9" ht="15.75" x14ac:dyDescent="0.25">
      <c r="A11" s="455"/>
      <c r="B11" s="455"/>
      <c r="C11" s="455"/>
      <c r="D11" s="455"/>
      <c r="E11" s="455"/>
      <c r="F11" s="455"/>
      <c r="G11" s="456"/>
      <c r="H11" s="455"/>
      <c r="I11" s="8"/>
    </row>
    <row r="12" spans="1:9" ht="15.75" x14ac:dyDescent="0.25">
      <c r="A12" s="457" t="s">
        <v>22</v>
      </c>
      <c r="B12" s="455"/>
      <c r="C12" s="455"/>
      <c r="D12" s="455"/>
      <c r="E12" s="455"/>
      <c r="F12" s="455"/>
      <c r="G12" s="458">
        <f>SUM(G8:G10)</f>
        <v>1200</v>
      </c>
      <c r="H12" s="455"/>
      <c r="I12" s="8"/>
    </row>
    <row r="13" spans="1:9" ht="15.75" x14ac:dyDescent="0.25">
      <c r="A13" s="455"/>
      <c r="B13" s="455"/>
      <c r="C13" s="455"/>
      <c r="D13" s="455"/>
      <c r="E13" s="455"/>
      <c r="F13" s="455"/>
      <c r="G13" s="456"/>
      <c r="H13" s="455"/>
      <c r="I13" s="8"/>
    </row>
    <row r="14" spans="1:9" ht="15.75" x14ac:dyDescent="0.25">
      <c r="A14" s="455"/>
      <c r="B14" s="455"/>
      <c r="C14" s="455"/>
      <c r="D14" s="455"/>
      <c r="E14" s="455"/>
      <c r="F14" s="455"/>
      <c r="G14" s="456"/>
      <c r="H14" s="455"/>
      <c r="I14" s="8"/>
    </row>
    <row r="15" spans="1:9" ht="15.75" x14ac:dyDescent="0.25">
      <c r="A15" s="455"/>
      <c r="B15" s="455"/>
      <c r="C15" s="455"/>
      <c r="D15" s="455"/>
      <c r="E15" s="455"/>
      <c r="F15" s="455"/>
      <c r="G15" s="456"/>
      <c r="H15" s="455"/>
      <c r="I15" s="8"/>
    </row>
    <row r="16" spans="1:9" ht="15.75" x14ac:dyDescent="0.25">
      <c r="A16" s="455"/>
      <c r="B16" s="455"/>
      <c r="C16" s="455"/>
      <c r="D16" s="455"/>
      <c r="E16" s="455"/>
      <c r="F16" s="455"/>
      <c r="G16" s="456"/>
      <c r="H16" s="455"/>
      <c r="I16" s="8"/>
    </row>
    <row r="17" spans="1:9" ht="15.75" x14ac:dyDescent="0.25">
      <c r="A17" s="459"/>
      <c r="B17" s="8"/>
      <c r="C17" s="8"/>
      <c r="D17" s="8"/>
      <c r="E17" s="8"/>
      <c r="F17" s="8"/>
      <c r="G17" s="319"/>
      <c r="H17" s="8"/>
      <c r="I17" s="8"/>
    </row>
  </sheetData>
  <mergeCells count="3">
    <mergeCell ref="A1:I1"/>
    <mergeCell ref="A3:I3"/>
    <mergeCell ref="A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A028F-56CC-489C-BCFC-9BB8278735AA}">
  <sheetPr>
    <pageSetUpPr fitToPage="1"/>
  </sheetPr>
  <dimension ref="A1:N190"/>
  <sheetViews>
    <sheetView view="pageBreakPreview" zoomScaleNormal="100" zoomScaleSheetLayoutView="100" workbookViewId="0">
      <selection activeCell="I3" sqref="I3"/>
    </sheetView>
  </sheetViews>
  <sheetFormatPr defaultColWidth="9.140625" defaultRowHeight="12.75" x14ac:dyDescent="0.2"/>
  <cols>
    <col min="1" max="1" width="6.7109375" style="8" customWidth="1"/>
    <col min="2" max="2" width="29.7109375" style="8" customWidth="1"/>
    <col min="3" max="3" width="41.42578125" style="8" customWidth="1"/>
    <col min="4" max="4" width="14.85546875" style="8" customWidth="1"/>
    <col min="5" max="8" width="14.5703125" style="8" customWidth="1"/>
    <col min="9" max="9" width="16" style="8" customWidth="1"/>
    <col min="10" max="10" width="11.42578125" style="8" customWidth="1"/>
    <col min="11" max="11" width="11.28515625" style="8" customWidth="1"/>
    <col min="12" max="12" width="10.85546875" style="8" customWidth="1"/>
    <col min="13" max="13" width="12.5703125" style="8" customWidth="1"/>
    <col min="14" max="14" width="11.140625" style="8" customWidth="1"/>
    <col min="15" max="16384" width="9.140625" style="8"/>
  </cols>
  <sheetData>
    <row r="1" spans="1:9" ht="15" x14ac:dyDescent="0.25">
      <c r="I1" s="13" t="s">
        <v>957</v>
      </c>
    </row>
    <row r="2" spans="1:9" ht="15" x14ac:dyDescent="0.25">
      <c r="B2" s="460"/>
      <c r="C2" s="460"/>
      <c r="D2" s="460"/>
      <c r="E2" s="460"/>
      <c r="F2" s="460"/>
      <c r="G2" s="460"/>
      <c r="H2" s="460"/>
      <c r="I2" s="9" t="s">
        <v>989</v>
      </c>
    </row>
    <row r="3" spans="1:9" ht="15" x14ac:dyDescent="0.25">
      <c r="A3" s="461"/>
      <c r="B3" s="462"/>
      <c r="C3" s="462"/>
      <c r="D3" s="462"/>
      <c r="E3" s="462"/>
      <c r="F3" s="462"/>
      <c r="G3" s="462"/>
      <c r="H3" s="462"/>
      <c r="I3" s="9"/>
    </row>
    <row r="4" spans="1:9" ht="13.5" x14ac:dyDescent="0.25">
      <c r="A4" s="685" t="s">
        <v>818</v>
      </c>
      <c r="B4" s="685"/>
      <c r="C4" s="685"/>
      <c r="D4" s="685"/>
      <c r="E4" s="685"/>
      <c r="F4" s="685"/>
      <c r="G4" s="685"/>
      <c r="H4" s="685"/>
      <c r="I4" s="685"/>
    </row>
    <row r="5" spans="1:9" ht="13.5" x14ac:dyDescent="0.25">
      <c r="A5" s="461"/>
      <c r="B5" s="464"/>
      <c r="C5" s="461"/>
      <c r="D5" s="465"/>
      <c r="E5" s="465"/>
      <c r="F5" s="465"/>
      <c r="G5" s="465"/>
      <c r="H5" s="465"/>
      <c r="I5" s="465"/>
    </row>
    <row r="6" spans="1:9" ht="15.75" x14ac:dyDescent="0.25">
      <c r="A6" s="683" t="s">
        <v>654</v>
      </c>
      <c r="B6" s="683"/>
      <c r="C6" s="683"/>
      <c r="D6" s="683"/>
      <c r="E6" s="683"/>
      <c r="F6" s="683"/>
      <c r="G6" s="683"/>
      <c r="H6" s="683"/>
      <c r="I6" s="683"/>
    </row>
    <row r="7" spans="1:9" ht="13.5" x14ac:dyDescent="0.2">
      <c r="A7" s="461"/>
      <c r="B7" s="466"/>
      <c r="C7" s="467"/>
      <c r="D7" s="466"/>
      <c r="E7" s="466"/>
      <c r="F7" s="466"/>
      <c r="G7" s="466"/>
      <c r="H7" s="466"/>
      <c r="I7" s="468" t="s">
        <v>207</v>
      </c>
    </row>
    <row r="8" spans="1:9" ht="13.5" x14ac:dyDescent="0.2">
      <c r="A8" s="469" t="s">
        <v>819</v>
      </c>
      <c r="B8" s="470" t="s">
        <v>820</v>
      </c>
      <c r="C8" s="470" t="s">
        <v>821</v>
      </c>
      <c r="D8" s="470" t="s">
        <v>822</v>
      </c>
      <c r="E8" s="470" t="s">
        <v>823</v>
      </c>
      <c r="F8" s="470" t="s">
        <v>824</v>
      </c>
      <c r="G8" s="470" t="s">
        <v>212</v>
      </c>
      <c r="H8" s="470" t="s">
        <v>213</v>
      </c>
      <c r="I8" s="471" t="s">
        <v>219</v>
      </c>
    </row>
    <row r="9" spans="1:9" ht="13.5" x14ac:dyDescent="0.2">
      <c r="A9" s="469"/>
      <c r="B9" s="470"/>
      <c r="C9" s="470"/>
      <c r="D9" s="470"/>
      <c r="E9" s="470"/>
      <c r="F9" s="470"/>
      <c r="G9" s="470"/>
      <c r="H9" s="470"/>
      <c r="I9" s="471"/>
    </row>
    <row r="10" spans="1:9" ht="13.5" x14ac:dyDescent="0.2">
      <c r="A10" s="469"/>
      <c r="B10" s="470"/>
      <c r="C10" s="470"/>
      <c r="D10" s="470"/>
      <c r="E10" s="470"/>
      <c r="F10" s="470"/>
      <c r="G10" s="470"/>
      <c r="H10" s="470"/>
      <c r="I10" s="471"/>
    </row>
    <row r="11" spans="1:9" ht="29.25" customHeight="1" x14ac:dyDescent="0.2">
      <c r="A11" s="472">
        <v>1</v>
      </c>
      <c r="B11" s="473" t="s">
        <v>827</v>
      </c>
      <c r="C11" s="681" t="s">
        <v>828</v>
      </c>
      <c r="D11" s="681"/>
      <c r="E11" s="470"/>
      <c r="F11" s="470"/>
      <c r="G11" s="470"/>
      <c r="H11" s="470"/>
      <c r="I11" s="471"/>
    </row>
    <row r="12" spans="1:9" ht="13.5" x14ac:dyDescent="0.2">
      <c r="A12" s="469"/>
      <c r="B12" s="475" t="s">
        <v>29</v>
      </c>
      <c r="C12" s="470"/>
      <c r="D12" s="470"/>
      <c r="E12" s="470"/>
      <c r="F12" s="470"/>
      <c r="G12" s="470"/>
      <c r="H12" s="470"/>
      <c r="I12" s="471"/>
    </row>
    <row r="13" spans="1:9" ht="13.5" x14ac:dyDescent="0.2">
      <c r="A13" s="469"/>
      <c r="B13" s="476" t="s">
        <v>825</v>
      </c>
      <c r="C13" s="477"/>
      <c r="D13" s="465">
        <v>12208872</v>
      </c>
      <c r="E13" s="465">
        <v>0</v>
      </c>
      <c r="F13" s="465">
        <v>0</v>
      </c>
      <c r="G13" s="465"/>
      <c r="H13" s="465"/>
      <c r="I13" s="465">
        <f>SUM(D13:H13)</f>
        <v>12208872</v>
      </c>
    </row>
    <row r="14" spans="1:9" ht="13.5" x14ac:dyDescent="0.2">
      <c r="A14" s="469"/>
      <c r="B14" s="476" t="s">
        <v>829</v>
      </c>
      <c r="C14" s="477"/>
      <c r="D14" s="465"/>
      <c r="E14" s="465"/>
      <c r="F14" s="465">
        <v>71250</v>
      </c>
      <c r="G14" s="465">
        <v>288000</v>
      </c>
      <c r="H14" s="465"/>
      <c r="I14" s="465">
        <f>SUM(D14:H14)</f>
        <v>359250</v>
      </c>
    </row>
    <row r="15" spans="1:9" ht="13.5" x14ac:dyDescent="0.25">
      <c r="A15" s="482"/>
      <c r="B15" s="483" t="s">
        <v>24</v>
      </c>
      <c r="C15" s="484"/>
      <c r="D15" s="485">
        <f>SUM(D13:D13)</f>
        <v>12208872</v>
      </c>
      <c r="E15" s="485">
        <f>SUM(E13:E13)</f>
        <v>0</v>
      </c>
      <c r="F15" s="485">
        <f>SUM(F13:F14)</f>
        <v>71250</v>
      </c>
      <c r="G15" s="485">
        <f>SUM(G13:G14)</f>
        <v>288000</v>
      </c>
      <c r="H15" s="485"/>
      <c r="I15" s="485">
        <f>SUM(I13:I14)</f>
        <v>12568122</v>
      </c>
    </row>
    <row r="16" spans="1:9" ht="13.5" x14ac:dyDescent="0.25">
      <c r="A16" s="461"/>
      <c r="B16" s="486"/>
      <c r="C16" s="470"/>
      <c r="D16" s="487"/>
      <c r="E16" s="487"/>
      <c r="F16" s="487"/>
      <c r="G16" s="487"/>
      <c r="H16" s="487"/>
      <c r="I16" s="487"/>
    </row>
    <row r="17" spans="1:9" ht="27" customHeight="1" x14ac:dyDescent="0.2">
      <c r="A17" s="472">
        <v>2</v>
      </c>
      <c r="B17" s="473" t="s">
        <v>830</v>
      </c>
      <c r="C17" s="681" t="s">
        <v>831</v>
      </c>
      <c r="D17" s="681"/>
      <c r="E17" s="470"/>
      <c r="F17" s="470"/>
      <c r="G17" s="470"/>
      <c r="H17" s="470"/>
      <c r="I17" s="471"/>
    </row>
    <row r="18" spans="1:9" ht="13.5" x14ac:dyDescent="0.2">
      <c r="A18" s="469"/>
      <c r="B18" s="475" t="s">
        <v>29</v>
      </c>
      <c r="C18" s="470"/>
      <c r="D18" s="470"/>
      <c r="E18" s="470"/>
      <c r="F18" s="470"/>
      <c r="G18" s="470"/>
      <c r="H18" s="470"/>
      <c r="I18" s="471"/>
    </row>
    <row r="19" spans="1:9" ht="13.5" x14ac:dyDescent="0.2">
      <c r="A19" s="469"/>
      <c r="B19" s="476" t="s">
        <v>825</v>
      </c>
      <c r="C19" s="477"/>
      <c r="D19" s="465">
        <v>9743650</v>
      </c>
      <c r="E19" s="465">
        <v>1071600</v>
      </c>
      <c r="F19" s="465"/>
      <c r="G19" s="465">
        <v>477078</v>
      </c>
      <c r="H19" s="465"/>
      <c r="I19" s="465">
        <f>SUM(D19:H19)</f>
        <v>11292328</v>
      </c>
    </row>
    <row r="20" spans="1:9" ht="13.5" x14ac:dyDescent="0.2">
      <c r="A20" s="469"/>
      <c r="B20" s="476" t="s">
        <v>829</v>
      </c>
      <c r="C20" s="477"/>
      <c r="D20" s="465"/>
      <c r="E20" s="465"/>
      <c r="F20" s="465"/>
      <c r="G20" s="465">
        <v>407187</v>
      </c>
      <c r="H20" s="465"/>
      <c r="I20" s="465">
        <f>SUM(D20:H20)</f>
        <v>407187</v>
      </c>
    </row>
    <row r="21" spans="1:9" ht="13.5" x14ac:dyDescent="0.25">
      <c r="A21" s="482"/>
      <c r="B21" s="483" t="s">
        <v>24</v>
      </c>
      <c r="C21" s="484"/>
      <c r="D21" s="485">
        <f>SUM(D19:D19)</f>
        <v>9743650</v>
      </c>
      <c r="E21" s="485">
        <f>SUM(E19:E19)</f>
        <v>1071600</v>
      </c>
      <c r="F21" s="485">
        <f>SUM(F19:F20)</f>
        <v>0</v>
      </c>
      <c r="G21" s="485">
        <f t="shared" ref="G21:I21" si="0">SUM(G19:G20)</f>
        <v>884265</v>
      </c>
      <c r="H21" s="485"/>
      <c r="I21" s="485">
        <f t="shared" si="0"/>
        <v>11699515</v>
      </c>
    </row>
    <row r="22" spans="1:9" ht="13.5" x14ac:dyDescent="0.25">
      <c r="A22" s="461"/>
      <c r="B22" s="486"/>
      <c r="C22" s="470"/>
      <c r="D22" s="487"/>
      <c r="E22" s="487"/>
      <c r="F22" s="487"/>
      <c r="G22" s="487"/>
      <c r="H22" s="487"/>
      <c r="I22" s="487"/>
    </row>
    <row r="23" spans="1:9" ht="36.75" customHeight="1" x14ac:dyDescent="0.2">
      <c r="A23" s="472">
        <v>3</v>
      </c>
      <c r="B23" s="473" t="s">
        <v>832</v>
      </c>
      <c r="C23" s="681" t="s">
        <v>833</v>
      </c>
      <c r="D23" s="681"/>
      <c r="E23" s="470"/>
      <c r="F23" s="470"/>
      <c r="G23" s="470"/>
      <c r="H23" s="470"/>
      <c r="I23" s="471"/>
    </row>
    <row r="24" spans="1:9" ht="13.5" x14ac:dyDescent="0.2">
      <c r="A24" s="469"/>
      <c r="B24" s="475" t="s">
        <v>29</v>
      </c>
      <c r="C24" s="470"/>
      <c r="D24" s="470"/>
      <c r="E24" s="470"/>
      <c r="F24" s="470"/>
      <c r="G24" s="470"/>
      <c r="H24" s="470"/>
      <c r="I24" s="471"/>
    </row>
    <row r="25" spans="1:9" ht="13.5" x14ac:dyDescent="0.2">
      <c r="A25" s="469"/>
      <c r="B25" s="476" t="s">
        <v>825</v>
      </c>
      <c r="C25" s="477"/>
      <c r="D25" s="465">
        <v>21236614</v>
      </c>
      <c r="E25" s="465">
        <v>0</v>
      </c>
      <c r="F25" s="465">
        <v>1092178</v>
      </c>
      <c r="G25" s="465">
        <v>1504111</v>
      </c>
      <c r="H25" s="465"/>
      <c r="I25" s="465">
        <f>SUM(D25:H25)</f>
        <v>23832903</v>
      </c>
    </row>
    <row r="26" spans="1:9" ht="13.5" x14ac:dyDescent="0.2">
      <c r="A26" s="469"/>
      <c r="B26" s="476" t="s">
        <v>829</v>
      </c>
      <c r="C26" s="477"/>
      <c r="D26" s="465"/>
      <c r="E26" s="465"/>
      <c r="G26" s="465"/>
      <c r="H26" s="465"/>
      <c r="I26" s="465">
        <f>SUM(D26:H26)</f>
        <v>0</v>
      </c>
    </row>
    <row r="27" spans="1:9" ht="13.5" x14ac:dyDescent="0.25">
      <c r="A27" s="482"/>
      <c r="B27" s="483" t="s">
        <v>24</v>
      </c>
      <c r="C27" s="484"/>
      <c r="D27" s="485">
        <f>SUM(D25:D26)</f>
        <v>21236614</v>
      </c>
      <c r="E27" s="485">
        <f t="shared" ref="E27:G27" si="1">SUM(E25:E26)</f>
        <v>0</v>
      </c>
      <c r="F27" s="485">
        <f t="shared" si="1"/>
        <v>1092178</v>
      </c>
      <c r="G27" s="485">
        <f t="shared" si="1"/>
        <v>1504111</v>
      </c>
      <c r="H27" s="485"/>
      <c r="I27" s="485">
        <f>SUM(I25:I26)</f>
        <v>23832903</v>
      </c>
    </row>
    <row r="28" spans="1:9" ht="13.5" x14ac:dyDescent="0.2">
      <c r="A28" s="469"/>
      <c r="B28" s="470"/>
      <c r="C28" s="470"/>
      <c r="D28" s="470"/>
      <c r="E28" s="470"/>
      <c r="F28" s="470"/>
      <c r="G28" s="470"/>
      <c r="H28" s="470"/>
      <c r="I28" s="471"/>
    </row>
    <row r="29" spans="1:9" ht="25.5" x14ac:dyDescent="0.2">
      <c r="A29" s="472">
        <v>4</v>
      </c>
      <c r="B29" s="473" t="s">
        <v>834</v>
      </c>
      <c r="C29" s="474" t="s">
        <v>835</v>
      </c>
      <c r="D29" s="470"/>
      <c r="E29" s="470"/>
      <c r="F29" s="470"/>
      <c r="G29" s="470"/>
      <c r="H29" s="470"/>
      <c r="I29" s="471"/>
    </row>
    <row r="30" spans="1:9" ht="13.5" x14ac:dyDescent="0.2">
      <c r="A30" s="469"/>
      <c r="B30" s="475" t="s">
        <v>29</v>
      </c>
      <c r="C30" s="470"/>
      <c r="D30" s="470"/>
      <c r="E30" s="470"/>
      <c r="F30" s="470"/>
      <c r="G30" s="470"/>
      <c r="H30" s="470"/>
      <c r="I30" s="471"/>
    </row>
    <row r="31" spans="1:9" ht="13.5" x14ac:dyDescent="0.2">
      <c r="A31" s="469"/>
      <c r="B31" s="476" t="s">
        <v>825</v>
      </c>
      <c r="C31" s="477"/>
      <c r="D31" s="465">
        <v>0</v>
      </c>
      <c r="E31" s="465">
        <v>222596761</v>
      </c>
      <c r="F31" s="465"/>
      <c r="G31" s="465">
        <v>30341547</v>
      </c>
      <c r="H31" s="465"/>
      <c r="I31" s="465">
        <f>SUM(D31:H31)</f>
        <v>252938308</v>
      </c>
    </row>
    <row r="32" spans="1:9" ht="13.5" x14ac:dyDescent="0.25">
      <c r="A32" s="482"/>
      <c r="B32" s="483" t="s">
        <v>24</v>
      </c>
      <c r="C32" s="484"/>
      <c r="D32" s="485">
        <f>SUM(D31:D31)</f>
        <v>0</v>
      </c>
      <c r="E32" s="485">
        <f>SUM(E31:E31)</f>
        <v>222596761</v>
      </c>
      <c r="F32" s="485">
        <f>SUM(F31:F31)</f>
        <v>0</v>
      </c>
      <c r="G32" s="485">
        <f>SUM(G31:G31)</f>
        <v>30341547</v>
      </c>
      <c r="H32" s="485"/>
      <c r="I32" s="485">
        <f>SUM(I31:I31)</f>
        <v>252938308</v>
      </c>
    </row>
    <row r="33" spans="1:14" ht="13.5" x14ac:dyDescent="0.25">
      <c r="A33" s="461"/>
      <c r="B33" s="486"/>
      <c r="C33" s="470"/>
      <c r="D33" s="487"/>
      <c r="E33" s="487"/>
      <c r="F33" s="487"/>
      <c r="G33" s="487"/>
      <c r="H33" s="487"/>
      <c r="I33" s="487"/>
    </row>
    <row r="34" spans="1:14" x14ac:dyDescent="0.2">
      <c r="A34" s="472">
        <v>5</v>
      </c>
      <c r="B34" s="473" t="s">
        <v>836</v>
      </c>
      <c r="C34" s="488" t="s">
        <v>837</v>
      </c>
    </row>
    <row r="35" spans="1:14" ht="13.5" x14ac:dyDescent="0.25">
      <c r="A35" s="461"/>
      <c r="B35" s="486"/>
      <c r="C35" s="470"/>
    </row>
    <row r="36" spans="1:14" ht="13.5" x14ac:dyDescent="0.25">
      <c r="A36" s="461"/>
      <c r="B36" s="475" t="s">
        <v>29</v>
      </c>
      <c r="C36" s="470"/>
      <c r="D36" s="487"/>
      <c r="E36" s="487"/>
      <c r="F36" s="487"/>
      <c r="G36" s="487"/>
      <c r="H36" s="487"/>
      <c r="I36" s="487"/>
    </row>
    <row r="37" spans="1:14" ht="13.5" x14ac:dyDescent="0.2">
      <c r="A37" s="461"/>
      <c r="B37" s="489" t="s">
        <v>838</v>
      </c>
      <c r="C37" s="470"/>
      <c r="D37" s="465">
        <v>86366819</v>
      </c>
      <c r="E37" s="465"/>
      <c r="F37" s="465">
        <v>59663381</v>
      </c>
      <c r="G37" s="465">
        <v>602660</v>
      </c>
      <c r="H37" s="465"/>
      <c r="I37" s="465">
        <f>SUM(D37:G37)</f>
        <v>146632860</v>
      </c>
      <c r="J37" s="465"/>
      <c r="K37" s="465"/>
      <c r="L37" s="465"/>
      <c r="M37" s="465"/>
      <c r="N37" s="465"/>
    </row>
    <row r="38" spans="1:14" ht="13.5" x14ac:dyDescent="0.2">
      <c r="A38" s="461"/>
      <c r="B38" s="476" t="s">
        <v>826</v>
      </c>
      <c r="C38" s="470"/>
      <c r="D38" s="465">
        <v>426500</v>
      </c>
      <c r="E38" s="465">
        <v>100000</v>
      </c>
      <c r="F38" s="465">
        <v>2772940</v>
      </c>
      <c r="G38" s="465"/>
      <c r="H38" s="465"/>
      <c r="I38" s="465">
        <f>SUM(D38:F38)</f>
        <v>3299440</v>
      </c>
      <c r="J38" s="465"/>
      <c r="K38" s="465"/>
      <c r="L38" s="465"/>
      <c r="M38" s="465"/>
      <c r="N38" s="465"/>
    </row>
    <row r="39" spans="1:14" ht="13.5" x14ac:dyDescent="0.25">
      <c r="A39" s="490"/>
      <c r="B39" s="491" t="s">
        <v>24</v>
      </c>
      <c r="C39" s="484"/>
      <c r="D39" s="485">
        <f>SUM(D37:D38)</f>
        <v>86793319</v>
      </c>
      <c r="E39" s="485">
        <f t="shared" ref="E39:I39" si="2">SUM(E37:E38)</f>
        <v>100000</v>
      </c>
      <c r="F39" s="485">
        <f t="shared" si="2"/>
        <v>62436321</v>
      </c>
      <c r="G39" s="485">
        <f t="shared" si="2"/>
        <v>602660</v>
      </c>
      <c r="H39" s="485"/>
      <c r="I39" s="485">
        <f t="shared" si="2"/>
        <v>149932300</v>
      </c>
      <c r="J39" s="487"/>
      <c r="K39" s="487"/>
      <c r="L39" s="487"/>
      <c r="M39" s="487"/>
      <c r="N39" s="487"/>
    </row>
    <row r="40" spans="1:14" ht="13.5" x14ac:dyDescent="0.25">
      <c r="B40" s="492"/>
      <c r="C40" s="493"/>
      <c r="D40" s="494"/>
      <c r="E40" s="494"/>
      <c r="F40" s="487"/>
      <c r="G40" s="487"/>
      <c r="H40" s="487"/>
      <c r="I40" s="487"/>
      <c r="J40" s="494"/>
      <c r="K40" s="494"/>
      <c r="L40" s="487"/>
      <c r="M40" s="487"/>
      <c r="N40" s="487"/>
    </row>
    <row r="41" spans="1:14" ht="25.5" x14ac:dyDescent="0.2">
      <c r="A41" s="472">
        <v>6</v>
      </c>
      <c r="B41" s="473" t="s">
        <v>839</v>
      </c>
      <c r="C41" s="474" t="s">
        <v>840</v>
      </c>
      <c r="D41" s="470"/>
      <c r="E41" s="470"/>
      <c r="F41" s="470"/>
      <c r="G41" s="470"/>
      <c r="H41" s="470"/>
      <c r="I41" s="471"/>
      <c r="J41" s="470"/>
      <c r="K41" s="470"/>
      <c r="L41" s="470"/>
      <c r="M41" s="470"/>
      <c r="N41" s="471"/>
    </row>
    <row r="42" spans="1:14" ht="13.5" x14ac:dyDescent="0.2">
      <c r="A42" s="469"/>
      <c r="B42" s="475" t="s">
        <v>29</v>
      </c>
      <c r="C42" s="470"/>
      <c r="D42" s="470"/>
      <c r="E42" s="470"/>
      <c r="F42" s="470"/>
      <c r="G42" s="470"/>
      <c r="H42" s="470"/>
      <c r="I42" s="471"/>
      <c r="J42" s="470"/>
      <c r="K42" s="470"/>
      <c r="L42" s="470"/>
      <c r="M42" s="470"/>
      <c r="N42" s="471"/>
    </row>
    <row r="43" spans="1:14" ht="13.5" x14ac:dyDescent="0.2">
      <c r="A43" s="469"/>
      <c r="B43" s="476" t="s">
        <v>825</v>
      </c>
      <c r="C43" s="477"/>
      <c r="D43" s="465">
        <v>182311166</v>
      </c>
      <c r="E43" s="465">
        <v>0</v>
      </c>
      <c r="F43" s="465">
        <v>305317100</v>
      </c>
      <c r="G43" s="465">
        <v>28705974</v>
      </c>
      <c r="H43" s="465"/>
      <c r="I43" s="465">
        <f>SUM(D43:H43)</f>
        <v>516334240</v>
      </c>
      <c r="J43" s="465"/>
      <c r="K43" s="465"/>
      <c r="L43" s="465"/>
      <c r="M43" s="465"/>
      <c r="N43" s="465"/>
    </row>
    <row r="44" spans="1:14" ht="13.5" x14ac:dyDescent="0.2">
      <c r="A44" s="469"/>
      <c r="B44" s="476" t="s">
        <v>826</v>
      </c>
      <c r="C44" s="477"/>
      <c r="D44" s="465">
        <v>5237866</v>
      </c>
      <c r="E44" s="465"/>
      <c r="F44" s="465"/>
      <c r="G44" s="465">
        <v>1716183</v>
      </c>
      <c r="H44" s="465"/>
      <c r="I44" s="465">
        <f>SUM(D44:H44)</f>
        <v>6954049</v>
      </c>
      <c r="J44" s="465"/>
      <c r="K44" s="465"/>
      <c r="M44" s="465"/>
      <c r="N44" s="465"/>
    </row>
    <row r="45" spans="1:14" ht="13.5" x14ac:dyDescent="0.25">
      <c r="A45" s="482"/>
      <c r="B45" s="483" t="s">
        <v>24</v>
      </c>
      <c r="C45" s="484"/>
      <c r="D45" s="485">
        <f>SUM(D43:D44)</f>
        <v>187549032</v>
      </c>
      <c r="E45" s="485">
        <f>SUM(E43:E44)</f>
        <v>0</v>
      </c>
      <c r="F45" s="485">
        <f>SUM(F43:F44)</f>
        <v>305317100</v>
      </c>
      <c r="G45" s="485">
        <f>SUM(G43:G44)</f>
        <v>30422157</v>
      </c>
      <c r="H45" s="485"/>
      <c r="I45" s="485">
        <f>SUM(I43:I44)</f>
        <v>523288289</v>
      </c>
      <c r="J45" s="487"/>
      <c r="K45" s="487"/>
      <c r="L45" s="487"/>
      <c r="M45" s="487"/>
      <c r="N45" s="487"/>
    </row>
    <row r="46" spans="1:14" ht="13.5" x14ac:dyDescent="0.25">
      <c r="B46" s="492"/>
      <c r="C46" s="493"/>
      <c r="D46" s="487"/>
      <c r="E46" s="494"/>
      <c r="F46" s="487"/>
      <c r="G46" s="487"/>
      <c r="H46" s="487"/>
      <c r="I46" s="487"/>
      <c r="J46" s="487"/>
      <c r="K46" s="494"/>
      <c r="L46" s="487"/>
      <c r="M46" s="487"/>
      <c r="N46" s="487"/>
    </row>
    <row r="47" spans="1:14" ht="28.5" customHeight="1" x14ac:dyDescent="0.2">
      <c r="A47" s="472">
        <v>7</v>
      </c>
      <c r="B47" s="495" t="s">
        <v>841</v>
      </c>
      <c r="C47" s="681" t="s">
        <v>987</v>
      </c>
      <c r="D47" s="681"/>
      <c r="E47" s="470"/>
      <c r="F47" s="470"/>
      <c r="G47" s="470"/>
      <c r="H47" s="470"/>
      <c r="I47" s="471"/>
      <c r="K47" s="470"/>
      <c r="L47" s="470"/>
      <c r="M47" s="470"/>
      <c r="N47" s="471"/>
    </row>
    <row r="48" spans="1:14" ht="13.5" x14ac:dyDescent="0.2">
      <c r="A48" s="496"/>
      <c r="B48" s="497"/>
      <c r="C48" s="474"/>
      <c r="E48" s="470"/>
      <c r="F48" s="470"/>
      <c r="G48" s="470"/>
      <c r="H48" s="470"/>
      <c r="I48" s="471"/>
      <c r="K48" s="470"/>
      <c r="L48" s="470"/>
      <c r="M48" s="470"/>
      <c r="N48" s="471"/>
    </row>
    <row r="49" spans="1:14" ht="13.5" x14ac:dyDescent="0.2">
      <c r="A49" s="496"/>
      <c r="B49" s="498" t="s">
        <v>29</v>
      </c>
      <c r="C49" s="474"/>
      <c r="E49" s="470"/>
      <c r="F49" s="470"/>
      <c r="G49" s="470"/>
      <c r="H49" s="470"/>
      <c r="I49" s="471"/>
      <c r="K49" s="470"/>
      <c r="L49" s="470"/>
      <c r="M49" s="470"/>
      <c r="N49" s="471"/>
    </row>
    <row r="50" spans="1:14" ht="13.5" x14ac:dyDescent="0.2">
      <c r="B50" s="499" t="s">
        <v>838</v>
      </c>
      <c r="C50" s="470"/>
      <c r="D50" s="500">
        <v>227367360</v>
      </c>
      <c r="E50" s="501">
        <v>0</v>
      </c>
      <c r="F50" s="501">
        <v>57212817</v>
      </c>
      <c r="G50" s="501"/>
      <c r="H50" s="501"/>
      <c r="I50" s="465">
        <f>SUM(D50:H50)</f>
        <v>284580177</v>
      </c>
    </row>
    <row r="51" spans="1:14" ht="13.5" x14ac:dyDescent="0.2">
      <c r="B51" s="476" t="s">
        <v>826</v>
      </c>
      <c r="C51" s="470"/>
      <c r="D51" s="500"/>
      <c r="E51" s="500"/>
      <c r="F51" s="500">
        <v>6642376</v>
      </c>
      <c r="G51" s="500"/>
      <c r="H51" s="500"/>
      <c r="I51" s="465">
        <f>SUM(D51:H51)</f>
        <v>6642376</v>
      </c>
    </row>
    <row r="52" spans="1:14" ht="13.5" x14ac:dyDescent="0.25">
      <c r="A52" s="490"/>
      <c r="B52" s="491" t="s">
        <v>24</v>
      </c>
      <c r="C52" s="484"/>
      <c r="D52" s="502">
        <f>SUM(D50:D51)</f>
        <v>227367360</v>
      </c>
      <c r="E52" s="502">
        <f t="shared" ref="E52:I52" si="3">SUM(E50:E51)</f>
        <v>0</v>
      </c>
      <c r="F52" s="502">
        <f t="shared" si="3"/>
        <v>63855193</v>
      </c>
      <c r="G52" s="502"/>
      <c r="H52" s="502"/>
      <c r="I52" s="502">
        <f t="shared" si="3"/>
        <v>291222553</v>
      </c>
    </row>
    <row r="53" spans="1:14" ht="13.5" x14ac:dyDescent="0.25">
      <c r="B53" s="492"/>
      <c r="C53" s="493"/>
      <c r="D53" s="487"/>
      <c r="E53" s="494"/>
      <c r="F53" s="503"/>
      <c r="G53" s="503"/>
      <c r="H53" s="503"/>
      <c r="I53" s="503"/>
    </row>
    <row r="54" spans="1:14" ht="13.5" x14ac:dyDescent="0.2">
      <c r="A54" s="472">
        <v>8</v>
      </c>
      <c r="B54" s="473" t="s">
        <v>842</v>
      </c>
      <c r="C54" s="474" t="s">
        <v>843</v>
      </c>
      <c r="D54" s="470"/>
      <c r="E54" s="470"/>
      <c r="F54" s="470"/>
      <c r="G54" s="470"/>
      <c r="H54" s="470"/>
      <c r="I54" s="471"/>
    </row>
    <row r="55" spans="1:14" ht="13.5" x14ac:dyDescent="0.2">
      <c r="A55" s="469"/>
      <c r="B55" s="475" t="s">
        <v>29</v>
      </c>
      <c r="C55" s="470"/>
      <c r="D55" s="470"/>
      <c r="E55" s="470"/>
      <c r="F55" s="470"/>
      <c r="G55" s="470"/>
      <c r="H55" s="470"/>
      <c r="I55" s="471"/>
    </row>
    <row r="56" spans="1:14" ht="13.5" x14ac:dyDescent="0.2">
      <c r="A56" s="469"/>
      <c r="B56" s="476" t="s">
        <v>825</v>
      </c>
      <c r="C56" s="477"/>
      <c r="D56" s="465">
        <v>0</v>
      </c>
      <c r="E56" s="465"/>
      <c r="F56" s="465"/>
      <c r="G56" s="465">
        <v>135999981</v>
      </c>
      <c r="H56" s="465"/>
      <c r="I56" s="465">
        <f>SUM(D56:H56)</f>
        <v>135999981</v>
      </c>
    </row>
    <row r="57" spans="1:14" ht="13.5" x14ac:dyDescent="0.2">
      <c r="A57" s="469"/>
      <c r="B57" s="476" t="s">
        <v>826</v>
      </c>
      <c r="C57" s="477"/>
      <c r="D57" s="465">
        <v>1076498</v>
      </c>
      <c r="E57" s="465">
        <v>0</v>
      </c>
      <c r="F57" s="465">
        <v>0</v>
      </c>
      <c r="G57" s="465">
        <v>0</v>
      </c>
      <c r="H57" s="465"/>
      <c r="I57" s="465">
        <f>SUM(D57:H57)</f>
        <v>1076498</v>
      </c>
    </row>
    <row r="58" spans="1:14" ht="13.5" x14ac:dyDescent="0.25">
      <c r="A58" s="482"/>
      <c r="B58" s="483" t="s">
        <v>24</v>
      </c>
      <c r="C58" s="484"/>
      <c r="D58" s="485">
        <f>SUM(D56:D57)</f>
        <v>1076498</v>
      </c>
      <c r="E58" s="485">
        <f t="shared" ref="E58:I58" si="4">SUM(E56:E57)</f>
        <v>0</v>
      </c>
      <c r="F58" s="485">
        <f t="shared" si="4"/>
        <v>0</v>
      </c>
      <c r="G58" s="485">
        <f t="shared" si="4"/>
        <v>135999981</v>
      </c>
      <c r="H58" s="485"/>
      <c r="I58" s="485">
        <f t="shared" si="4"/>
        <v>137076479</v>
      </c>
    </row>
    <row r="59" spans="1:14" ht="13.5" x14ac:dyDescent="0.25">
      <c r="A59" s="461"/>
      <c r="B59" s="486"/>
      <c r="C59" s="470"/>
      <c r="D59" s="487"/>
      <c r="E59" s="487"/>
      <c r="F59" s="487"/>
      <c r="G59" s="487"/>
      <c r="H59" s="487"/>
      <c r="I59" s="487"/>
    </row>
    <row r="60" spans="1:14" ht="25.5" x14ac:dyDescent="0.2">
      <c r="A60" s="472">
        <v>9</v>
      </c>
      <c r="B60" s="473" t="s">
        <v>844</v>
      </c>
      <c r="C60" s="474" t="s">
        <v>845</v>
      </c>
      <c r="D60" s="470"/>
      <c r="E60" s="470"/>
      <c r="F60" s="470"/>
      <c r="G60" s="470"/>
      <c r="H60" s="470"/>
      <c r="I60" s="471"/>
    </row>
    <row r="61" spans="1:14" ht="13.5" x14ac:dyDescent="0.2">
      <c r="A61" s="469"/>
      <c r="B61" s="475" t="s">
        <v>29</v>
      </c>
      <c r="C61" s="470"/>
      <c r="D61" s="470"/>
      <c r="E61" s="470"/>
      <c r="F61" s="470"/>
      <c r="G61" s="470"/>
      <c r="H61" s="470"/>
      <c r="I61" s="471"/>
    </row>
    <row r="62" spans="1:14" ht="13.5" x14ac:dyDescent="0.2">
      <c r="A62" s="469"/>
      <c r="B62" s="476" t="s">
        <v>825</v>
      </c>
      <c r="C62" s="477"/>
      <c r="D62" s="465">
        <v>0</v>
      </c>
      <c r="E62" s="465">
        <v>118454688</v>
      </c>
      <c r="F62" s="465">
        <v>0</v>
      </c>
      <c r="G62" s="465">
        <v>190771795</v>
      </c>
      <c r="H62" s="465"/>
      <c r="I62" s="465">
        <f>SUM(D62:H62)</f>
        <v>309226483</v>
      </c>
    </row>
    <row r="63" spans="1:14" ht="13.5" x14ac:dyDescent="0.2">
      <c r="A63" s="469"/>
      <c r="B63" s="476" t="s">
        <v>846</v>
      </c>
      <c r="C63" s="477"/>
      <c r="D63" s="465"/>
      <c r="E63" s="465"/>
      <c r="F63" s="465">
        <v>3078000</v>
      </c>
      <c r="G63" s="465">
        <v>0</v>
      </c>
      <c r="H63" s="465"/>
      <c r="I63" s="465">
        <f>SUM(D63:H63)</f>
        <v>3078000</v>
      </c>
    </row>
    <row r="64" spans="1:14" ht="13.5" x14ac:dyDescent="0.25">
      <c r="A64" s="478"/>
      <c r="B64" s="479" t="s">
        <v>24</v>
      </c>
      <c r="C64" s="480"/>
      <c r="D64" s="481">
        <f>SUM(D62:D62)</f>
        <v>0</v>
      </c>
      <c r="E64" s="481">
        <f>SUM(E62:E62)</f>
        <v>118454688</v>
      </c>
      <c r="F64" s="481">
        <f>SUM(F62:F63)</f>
        <v>3078000</v>
      </c>
      <c r="G64" s="481">
        <f>SUM(G62:G63)</f>
        <v>190771795</v>
      </c>
      <c r="H64" s="481"/>
      <c r="I64" s="481">
        <f>SUM(I62:I63)</f>
        <v>312304483</v>
      </c>
    </row>
    <row r="65" spans="1:9" ht="13.5" x14ac:dyDescent="0.25">
      <c r="A65" s="461"/>
      <c r="B65" s="486"/>
      <c r="C65" s="470"/>
      <c r="D65" s="487"/>
      <c r="E65" s="487"/>
      <c r="F65" s="487"/>
      <c r="G65" s="487"/>
      <c r="H65" s="487"/>
      <c r="I65" s="487"/>
    </row>
    <row r="66" spans="1:9" ht="25.5" x14ac:dyDescent="0.2">
      <c r="A66" s="472">
        <v>10</v>
      </c>
      <c r="B66" s="473" t="s">
        <v>847</v>
      </c>
      <c r="C66" s="474" t="s">
        <v>848</v>
      </c>
      <c r="D66" s="470"/>
      <c r="E66" s="470"/>
      <c r="F66" s="470"/>
      <c r="G66" s="470"/>
      <c r="H66" s="470"/>
      <c r="I66" s="471"/>
    </row>
    <row r="67" spans="1:9" ht="13.5" x14ac:dyDescent="0.2">
      <c r="A67" s="469"/>
      <c r="B67" s="475" t="s">
        <v>29</v>
      </c>
      <c r="C67" s="470"/>
      <c r="D67" s="470"/>
      <c r="E67" s="470"/>
      <c r="F67" s="470"/>
      <c r="G67" s="470"/>
      <c r="H67" s="470"/>
      <c r="I67" s="471"/>
    </row>
    <row r="68" spans="1:9" ht="13.5" x14ac:dyDescent="0.2">
      <c r="A68" s="469"/>
      <c r="B68" s="476" t="s">
        <v>825</v>
      </c>
      <c r="C68" s="477"/>
      <c r="D68" s="465">
        <v>0</v>
      </c>
      <c r="E68" s="465">
        <v>378567754</v>
      </c>
      <c r="F68" s="465">
        <v>0</v>
      </c>
      <c r="G68" s="465">
        <v>9132245</v>
      </c>
      <c r="H68" s="465"/>
      <c r="I68" s="465">
        <f>SUM(D68:H68)</f>
        <v>387699999</v>
      </c>
    </row>
    <row r="69" spans="1:9" ht="13.5" x14ac:dyDescent="0.25">
      <c r="A69" s="478"/>
      <c r="B69" s="479" t="s">
        <v>24</v>
      </c>
      <c r="C69" s="480"/>
      <c r="D69" s="481">
        <f>SUM(D68:D68)</f>
        <v>0</v>
      </c>
      <c r="E69" s="481">
        <f>SUM(E68:E68)</f>
        <v>378567754</v>
      </c>
      <c r="F69" s="481">
        <f>SUM(F68:F68)</f>
        <v>0</v>
      </c>
      <c r="G69" s="481">
        <f>SUM(G68:G68)</f>
        <v>9132245</v>
      </c>
      <c r="H69" s="481"/>
      <c r="I69" s="481">
        <f>SUM(I68:I68)</f>
        <v>387699999</v>
      </c>
    </row>
    <row r="70" spans="1:9" ht="13.5" x14ac:dyDescent="0.25">
      <c r="A70" s="461"/>
      <c r="B70" s="486"/>
      <c r="C70" s="470"/>
      <c r="D70" s="487"/>
      <c r="E70" s="487"/>
      <c r="F70" s="487"/>
      <c r="G70" s="487"/>
      <c r="H70" s="487"/>
      <c r="I70" s="487"/>
    </row>
    <row r="71" spans="1:9" ht="38.25" x14ac:dyDescent="0.2">
      <c r="A71" s="472">
        <v>11</v>
      </c>
      <c r="B71" s="473" t="s">
        <v>849</v>
      </c>
      <c r="C71" s="474" t="s">
        <v>850</v>
      </c>
      <c r="D71" s="470"/>
      <c r="E71" s="470"/>
      <c r="F71" s="470"/>
      <c r="G71" s="470"/>
      <c r="H71" s="470"/>
      <c r="I71" s="471"/>
    </row>
    <row r="72" spans="1:9" ht="13.5" x14ac:dyDescent="0.2">
      <c r="A72" s="469"/>
      <c r="B72" s="475" t="s">
        <v>29</v>
      </c>
      <c r="C72" s="470"/>
      <c r="D72" s="470"/>
      <c r="E72" s="470"/>
      <c r="F72" s="470"/>
      <c r="G72" s="470"/>
      <c r="H72" s="470"/>
      <c r="I72" s="471"/>
    </row>
    <row r="73" spans="1:9" ht="13.5" x14ac:dyDescent="0.2">
      <c r="A73" s="469"/>
      <c r="B73" s="476" t="s">
        <v>825</v>
      </c>
      <c r="C73" s="477"/>
      <c r="D73" s="465">
        <v>0</v>
      </c>
      <c r="E73" s="465">
        <v>367160008</v>
      </c>
      <c r="F73" s="465">
        <v>0</v>
      </c>
      <c r="G73" s="465">
        <v>20539991</v>
      </c>
      <c r="H73" s="465"/>
      <c r="I73" s="465">
        <f>SUM(D73:H73)</f>
        <v>387699999</v>
      </c>
    </row>
    <row r="74" spans="1:9" ht="13.5" x14ac:dyDescent="0.25">
      <c r="A74" s="478"/>
      <c r="B74" s="479" t="s">
        <v>24</v>
      </c>
      <c r="C74" s="480"/>
      <c r="D74" s="481">
        <f>SUM(D73:D73)</f>
        <v>0</v>
      </c>
      <c r="E74" s="481">
        <f>SUM(E73:E73)</f>
        <v>367160008</v>
      </c>
      <c r="F74" s="481">
        <f>SUM(F73:F73)</f>
        <v>0</v>
      </c>
      <c r="G74" s="481">
        <f>SUM(G73:G73)</f>
        <v>20539991</v>
      </c>
      <c r="H74" s="481"/>
      <c r="I74" s="481">
        <f>SUM(I73:I73)</f>
        <v>387699999</v>
      </c>
    </row>
    <row r="75" spans="1:9" ht="13.5" x14ac:dyDescent="0.25">
      <c r="A75" s="461"/>
      <c r="B75" s="486"/>
      <c r="C75" s="470"/>
      <c r="D75" s="487"/>
      <c r="E75" s="487"/>
      <c r="F75" s="487"/>
      <c r="G75" s="487"/>
      <c r="H75" s="487"/>
      <c r="I75" s="487"/>
    </row>
    <row r="76" spans="1:9" ht="25.5" x14ac:dyDescent="0.2">
      <c r="A76" s="472">
        <v>12</v>
      </c>
      <c r="B76" s="473" t="s">
        <v>851</v>
      </c>
      <c r="C76" s="474" t="s">
        <v>852</v>
      </c>
      <c r="D76" s="470"/>
      <c r="E76" s="470"/>
      <c r="F76" s="470"/>
      <c r="G76" s="470"/>
      <c r="H76" s="470"/>
      <c r="I76" s="471"/>
    </row>
    <row r="77" spans="1:9" ht="13.5" x14ac:dyDescent="0.2">
      <c r="A77" s="469"/>
      <c r="B77" s="475" t="s">
        <v>29</v>
      </c>
      <c r="C77" s="470"/>
      <c r="D77" s="470"/>
      <c r="E77" s="470"/>
      <c r="F77" s="470"/>
      <c r="G77" s="470"/>
      <c r="H77" s="470"/>
      <c r="I77" s="471"/>
    </row>
    <row r="78" spans="1:9" ht="13.5" x14ac:dyDescent="0.2">
      <c r="A78" s="469"/>
      <c r="B78" s="476" t="s">
        <v>825</v>
      </c>
      <c r="C78" s="477"/>
      <c r="D78" s="465">
        <v>0</v>
      </c>
      <c r="E78" s="465">
        <v>365351631</v>
      </c>
      <c r="F78" s="465">
        <v>0</v>
      </c>
      <c r="G78" s="465">
        <v>22348368</v>
      </c>
      <c r="H78" s="465"/>
      <c r="I78" s="465">
        <f>SUM(D78:H78)</f>
        <v>387699999</v>
      </c>
    </row>
    <row r="79" spans="1:9" ht="13.5" x14ac:dyDescent="0.25">
      <c r="A79" s="478"/>
      <c r="B79" s="479" t="s">
        <v>24</v>
      </c>
      <c r="C79" s="480"/>
      <c r="D79" s="481">
        <f>SUM(D78:D78)</f>
        <v>0</v>
      </c>
      <c r="E79" s="481">
        <f>SUM(E78:E78)</f>
        <v>365351631</v>
      </c>
      <c r="F79" s="481">
        <f>SUM(F78:F78)</f>
        <v>0</v>
      </c>
      <c r="G79" s="481">
        <f>SUM(G78:G78)</f>
        <v>22348368</v>
      </c>
      <c r="H79" s="481">
        <f t="shared" ref="H79:I79" si="5">SUM(H78:H78)</f>
        <v>0</v>
      </c>
      <c r="I79" s="481">
        <f t="shared" si="5"/>
        <v>387699999</v>
      </c>
    </row>
    <row r="80" spans="1:9" ht="13.5" x14ac:dyDescent="0.25">
      <c r="A80" s="461"/>
      <c r="B80" s="463"/>
      <c r="C80" s="470"/>
      <c r="D80" s="487"/>
      <c r="E80" s="487"/>
      <c r="F80" s="487"/>
      <c r="G80" s="487"/>
      <c r="H80" s="487"/>
      <c r="I80" s="487"/>
    </row>
    <row r="81" spans="1:9" ht="27.75" customHeight="1" x14ac:dyDescent="0.2">
      <c r="A81" s="472">
        <v>13</v>
      </c>
      <c r="B81" s="473" t="s">
        <v>853</v>
      </c>
      <c r="C81" s="681" t="s">
        <v>988</v>
      </c>
      <c r="D81" s="681"/>
      <c r="E81" s="470"/>
      <c r="F81" s="470"/>
      <c r="G81" s="470"/>
      <c r="H81" s="470"/>
      <c r="I81" s="471"/>
    </row>
    <row r="82" spans="1:9" ht="13.5" x14ac:dyDescent="0.2">
      <c r="A82" s="469"/>
      <c r="B82" s="475" t="s">
        <v>29</v>
      </c>
      <c r="C82" s="470"/>
      <c r="D82" s="470"/>
      <c r="E82" s="470"/>
      <c r="F82" s="470"/>
      <c r="G82" s="470"/>
      <c r="H82" s="470"/>
      <c r="I82" s="471"/>
    </row>
    <row r="83" spans="1:9" ht="13.5" x14ac:dyDescent="0.2">
      <c r="A83" s="469"/>
      <c r="B83" s="476" t="s">
        <v>825</v>
      </c>
      <c r="C83" s="477"/>
      <c r="D83" s="465"/>
      <c r="E83" s="465"/>
      <c r="F83" s="465"/>
      <c r="G83" s="465">
        <v>47834297</v>
      </c>
      <c r="H83" s="465">
        <v>32164200</v>
      </c>
      <c r="I83" s="465">
        <f>SUM(G83:H83)</f>
        <v>79998497</v>
      </c>
    </row>
    <row r="84" spans="1:9" ht="13.5" x14ac:dyDescent="0.25">
      <c r="A84" s="478"/>
      <c r="B84" s="479" t="s">
        <v>24</v>
      </c>
      <c r="C84" s="480"/>
      <c r="D84" s="481"/>
      <c r="E84" s="481"/>
      <c r="F84" s="481"/>
      <c r="G84" s="481">
        <f>SUM(G83)</f>
        <v>47834297</v>
      </c>
      <c r="H84" s="481">
        <f>SUM(H83)</f>
        <v>32164200</v>
      </c>
      <c r="I84" s="481">
        <f>SUM(I83:I83)</f>
        <v>79998497</v>
      </c>
    </row>
    <row r="85" spans="1:9" ht="13.5" x14ac:dyDescent="0.2">
      <c r="A85" s="469"/>
      <c r="B85" s="470"/>
      <c r="C85" s="470"/>
      <c r="D85" s="470"/>
      <c r="E85" s="470"/>
      <c r="F85" s="470"/>
      <c r="G85" s="470"/>
      <c r="H85" s="470"/>
      <c r="I85" s="471"/>
    </row>
    <row r="86" spans="1:9" ht="15.75" x14ac:dyDescent="0.25">
      <c r="A86" s="504"/>
      <c r="B86" s="682" t="s">
        <v>854</v>
      </c>
      <c r="C86" s="682"/>
      <c r="D86" s="506">
        <f t="shared" ref="D86:I86" si="6">D15+D21+D27+D32+D39+D45+D52+D58+D64+D69+D74+D79+D84</f>
        <v>545975345</v>
      </c>
      <c r="E86" s="506">
        <f t="shared" si="6"/>
        <v>1453302442</v>
      </c>
      <c r="F86" s="506">
        <f t="shared" si="6"/>
        <v>435850042</v>
      </c>
      <c r="G86" s="506">
        <f t="shared" si="6"/>
        <v>490669417</v>
      </c>
      <c r="H86" s="506">
        <f t="shared" si="6"/>
        <v>32164200</v>
      </c>
      <c r="I86" s="506">
        <f t="shared" si="6"/>
        <v>2957961446</v>
      </c>
    </row>
    <row r="87" spans="1:9" ht="15.75" x14ac:dyDescent="0.25">
      <c r="A87" s="504"/>
      <c r="B87" s="505"/>
      <c r="C87" s="505"/>
      <c r="D87" s="506"/>
      <c r="E87" s="506"/>
      <c r="F87" s="506"/>
      <c r="G87" s="506"/>
      <c r="H87" s="506"/>
      <c r="I87" s="506"/>
    </row>
    <row r="88" spans="1:9" ht="15.75" x14ac:dyDescent="0.25">
      <c r="A88" s="683" t="s">
        <v>668</v>
      </c>
      <c r="B88" s="683"/>
      <c r="C88" s="683"/>
      <c r="D88" s="683"/>
      <c r="E88" s="683"/>
      <c r="F88" s="683"/>
      <c r="G88" s="683"/>
      <c r="H88" s="683"/>
      <c r="I88" s="683"/>
    </row>
    <row r="89" spans="1:9" ht="13.5" x14ac:dyDescent="0.25">
      <c r="A89" s="684" t="s">
        <v>207</v>
      </c>
      <c r="B89" s="684"/>
      <c r="C89" s="684"/>
      <c r="D89" s="684"/>
      <c r="E89" s="684"/>
      <c r="F89" s="684"/>
      <c r="G89" s="684"/>
      <c r="H89" s="684"/>
      <c r="I89" s="684"/>
    </row>
    <row r="90" spans="1:9" ht="13.5" x14ac:dyDescent="0.25">
      <c r="A90" s="469" t="s">
        <v>819</v>
      </c>
      <c r="B90" s="463" t="s">
        <v>820</v>
      </c>
      <c r="C90" s="470" t="s">
        <v>821</v>
      </c>
      <c r="D90" s="470" t="s">
        <v>822</v>
      </c>
      <c r="E90" s="470" t="s">
        <v>823</v>
      </c>
      <c r="F90" s="470" t="s">
        <v>824</v>
      </c>
      <c r="G90" s="470" t="s">
        <v>212</v>
      </c>
      <c r="H90" s="470" t="s">
        <v>213</v>
      </c>
      <c r="I90" s="471" t="s">
        <v>219</v>
      </c>
    </row>
    <row r="91" spans="1:9" x14ac:dyDescent="0.2">
      <c r="A91" s="461"/>
      <c r="B91" s="507"/>
      <c r="C91" s="461"/>
      <c r="D91" s="508"/>
      <c r="E91" s="508"/>
      <c r="F91" s="508"/>
      <c r="G91" s="508"/>
      <c r="H91" s="508"/>
      <c r="I91" s="465"/>
    </row>
    <row r="92" spans="1:9" ht="13.5" x14ac:dyDescent="0.25">
      <c r="A92" s="461"/>
      <c r="B92" s="486"/>
      <c r="C92" s="470"/>
      <c r="D92" s="487"/>
      <c r="E92" s="487"/>
      <c r="F92" s="487"/>
      <c r="G92" s="487"/>
      <c r="H92" s="487"/>
      <c r="I92" s="487"/>
    </row>
    <row r="93" spans="1:9" ht="27" customHeight="1" x14ac:dyDescent="0.25">
      <c r="A93" s="472">
        <v>1</v>
      </c>
      <c r="B93" s="473" t="s">
        <v>827</v>
      </c>
      <c r="C93" s="681" t="s">
        <v>828</v>
      </c>
      <c r="D93" s="681"/>
      <c r="E93" s="487"/>
      <c r="F93" s="487"/>
      <c r="G93" s="487"/>
      <c r="H93" s="487"/>
      <c r="I93" s="509"/>
    </row>
    <row r="94" spans="1:9" x14ac:dyDescent="0.2">
      <c r="A94" s="461"/>
      <c r="B94" s="475" t="s">
        <v>29</v>
      </c>
      <c r="C94" s="461"/>
      <c r="D94" s="465"/>
      <c r="E94" s="465"/>
      <c r="F94" s="465"/>
      <c r="G94" s="465"/>
      <c r="H94" s="465"/>
      <c r="I94" s="465"/>
    </row>
    <row r="95" spans="1:9" x14ac:dyDescent="0.2">
      <c r="A95" s="461"/>
      <c r="B95" s="476" t="s">
        <v>855</v>
      </c>
      <c r="C95" s="477" t="s">
        <v>858</v>
      </c>
      <c r="D95" s="465">
        <v>5781406</v>
      </c>
      <c r="E95" s="465">
        <v>120000</v>
      </c>
      <c r="F95" s="465">
        <v>0</v>
      </c>
      <c r="G95" s="465"/>
      <c r="H95" s="465"/>
      <c r="I95" s="465">
        <f t="shared" ref="I95:I100" si="7">SUM(D95:H95)</f>
        <v>5901406</v>
      </c>
    </row>
    <row r="96" spans="1:9" x14ac:dyDescent="0.2">
      <c r="A96" s="461"/>
      <c r="B96" s="476"/>
      <c r="C96" s="477" t="s">
        <v>859</v>
      </c>
      <c r="D96" s="465">
        <v>1045534</v>
      </c>
      <c r="E96" s="465">
        <v>46704</v>
      </c>
      <c r="F96" s="465">
        <v>0</v>
      </c>
      <c r="G96" s="465"/>
      <c r="H96" s="465"/>
      <c r="I96" s="465">
        <f t="shared" si="7"/>
        <v>1092238</v>
      </c>
    </row>
    <row r="97" spans="1:9" x14ac:dyDescent="0.2">
      <c r="A97" s="461"/>
      <c r="B97" s="476"/>
      <c r="C97" s="477" t="s">
        <v>856</v>
      </c>
      <c r="D97" s="465">
        <v>2829122</v>
      </c>
      <c r="E97" s="465">
        <v>690000</v>
      </c>
      <c r="F97" s="465">
        <v>821000</v>
      </c>
      <c r="G97" s="465">
        <v>361250</v>
      </c>
      <c r="H97" s="465"/>
      <c r="I97" s="465">
        <f t="shared" si="7"/>
        <v>4701372</v>
      </c>
    </row>
    <row r="98" spans="1:9" x14ac:dyDescent="0.2">
      <c r="A98" s="461"/>
      <c r="B98" s="476"/>
      <c r="C98" s="477" t="s">
        <v>860</v>
      </c>
      <c r="D98" s="465">
        <v>14580</v>
      </c>
      <c r="E98" s="465">
        <v>0</v>
      </c>
      <c r="F98" s="465">
        <v>0</v>
      </c>
      <c r="G98" s="465"/>
      <c r="H98" s="465"/>
      <c r="I98" s="465">
        <f t="shared" si="7"/>
        <v>14580</v>
      </c>
    </row>
    <row r="99" spans="1:9" x14ac:dyDescent="0.2">
      <c r="A99" s="461"/>
      <c r="B99" s="476"/>
      <c r="C99" s="477" t="s">
        <v>861</v>
      </c>
      <c r="D99" s="465">
        <v>0</v>
      </c>
      <c r="E99" s="465"/>
      <c r="F99" s="465">
        <v>0</v>
      </c>
      <c r="G99" s="465"/>
      <c r="H99" s="465"/>
      <c r="I99" s="465">
        <f t="shared" si="7"/>
        <v>0</v>
      </c>
    </row>
    <row r="100" spans="1:9" s="511" customFormat="1" x14ac:dyDescent="0.2">
      <c r="A100" s="461"/>
      <c r="B100" s="8"/>
      <c r="C100" s="477" t="s">
        <v>862</v>
      </c>
      <c r="D100" s="465">
        <v>0</v>
      </c>
      <c r="E100" s="465">
        <v>0</v>
      </c>
      <c r="G100" s="465">
        <v>858526</v>
      </c>
      <c r="H100" s="465"/>
      <c r="I100" s="465">
        <f t="shared" si="7"/>
        <v>858526</v>
      </c>
    </row>
    <row r="101" spans="1:9" s="511" customFormat="1" ht="13.5" x14ac:dyDescent="0.25">
      <c r="A101" s="484"/>
      <c r="B101" s="483" t="s">
        <v>24</v>
      </c>
      <c r="C101" s="512"/>
      <c r="D101" s="485">
        <f>SUM(D95:D100)</f>
        <v>9670642</v>
      </c>
      <c r="E101" s="485">
        <f>SUM(E95:E100)</f>
        <v>856704</v>
      </c>
      <c r="F101" s="485">
        <f>SUM(F95:F100)</f>
        <v>821000</v>
      </c>
      <c r="G101" s="485">
        <f>SUM(G95:G100)</f>
        <v>1219776</v>
      </c>
      <c r="H101" s="485"/>
      <c r="I101" s="485">
        <f>SUM(I95:I100)</f>
        <v>12568122</v>
      </c>
    </row>
    <row r="102" spans="1:9" ht="13.5" x14ac:dyDescent="0.25">
      <c r="A102" s="470"/>
      <c r="B102" s="486"/>
      <c r="C102" s="513"/>
      <c r="D102" s="487"/>
      <c r="E102" s="487"/>
      <c r="F102" s="487"/>
      <c r="G102" s="487"/>
      <c r="H102" s="487"/>
      <c r="I102" s="487"/>
    </row>
    <row r="103" spans="1:9" ht="27.75" customHeight="1" x14ac:dyDescent="0.25">
      <c r="A103" s="472">
        <v>2</v>
      </c>
      <c r="B103" s="473" t="s">
        <v>830</v>
      </c>
      <c r="C103" s="681" t="s">
        <v>831</v>
      </c>
      <c r="D103" s="681"/>
      <c r="E103" s="487"/>
      <c r="F103" s="487"/>
      <c r="G103" s="487"/>
      <c r="H103" s="487"/>
      <c r="I103" s="509"/>
    </row>
    <row r="104" spans="1:9" x14ac:dyDescent="0.2">
      <c r="A104" s="461"/>
      <c r="B104" s="475" t="s">
        <v>29</v>
      </c>
      <c r="C104" s="461"/>
      <c r="D104" s="465"/>
      <c r="E104" s="465"/>
      <c r="F104" s="465"/>
      <c r="G104" s="465"/>
      <c r="H104" s="465"/>
      <c r="I104" s="465"/>
    </row>
    <row r="105" spans="1:9" x14ac:dyDescent="0.2">
      <c r="A105" s="461"/>
      <c r="B105" s="476" t="s">
        <v>855</v>
      </c>
      <c r="C105" s="477" t="s">
        <v>858</v>
      </c>
      <c r="D105" s="465">
        <v>6268710</v>
      </c>
      <c r="E105" s="465">
        <v>180000</v>
      </c>
      <c r="F105" s="465">
        <v>0</v>
      </c>
      <c r="G105" s="465"/>
      <c r="H105" s="465"/>
      <c r="I105" s="465">
        <f>SUM(D105:H105)</f>
        <v>6448710</v>
      </c>
    </row>
    <row r="106" spans="1:9" x14ac:dyDescent="0.2">
      <c r="A106" s="461"/>
      <c r="B106" s="476"/>
      <c r="C106" s="477" t="s">
        <v>859</v>
      </c>
      <c r="D106" s="465">
        <v>1133857</v>
      </c>
      <c r="E106" s="465">
        <v>66972</v>
      </c>
      <c r="F106" s="465">
        <v>0</v>
      </c>
      <c r="G106" s="465"/>
      <c r="H106" s="465"/>
      <c r="I106" s="465">
        <f>SUM(D106:H106)</f>
        <v>1200829</v>
      </c>
    </row>
    <row r="107" spans="1:9" x14ac:dyDescent="0.2">
      <c r="A107" s="461"/>
      <c r="B107" s="476"/>
      <c r="C107" s="477" t="s">
        <v>856</v>
      </c>
      <c r="D107" s="465">
        <v>658546</v>
      </c>
      <c r="E107" s="465">
        <v>929400</v>
      </c>
      <c r="F107" s="465">
        <v>1317500</v>
      </c>
      <c r="G107" s="465">
        <v>1102650</v>
      </c>
      <c r="H107" s="465"/>
      <c r="I107" s="465">
        <f>SUM(D107:H107)</f>
        <v>4008096</v>
      </c>
    </row>
    <row r="108" spans="1:9" x14ac:dyDescent="0.2">
      <c r="A108" s="461"/>
      <c r="B108" s="476"/>
      <c r="C108" s="477" t="s">
        <v>860</v>
      </c>
      <c r="D108" s="465">
        <v>41880</v>
      </c>
      <c r="E108" s="465">
        <v>0</v>
      </c>
      <c r="F108" s="465">
        <v>0</v>
      </c>
      <c r="G108" s="465"/>
      <c r="H108" s="465"/>
      <c r="I108" s="465">
        <f>SUM(D108:H108)</f>
        <v>41880</v>
      </c>
    </row>
    <row r="109" spans="1:9" x14ac:dyDescent="0.2">
      <c r="A109" s="461"/>
      <c r="B109" s="476"/>
      <c r="C109" s="477" t="s">
        <v>861</v>
      </c>
      <c r="D109" s="465">
        <v>0</v>
      </c>
      <c r="E109" s="465">
        <v>0</v>
      </c>
      <c r="F109" s="465">
        <v>0</v>
      </c>
      <c r="G109" s="465"/>
      <c r="H109" s="465"/>
      <c r="I109" s="465">
        <f>SUM(D109:H109)</f>
        <v>0</v>
      </c>
    </row>
    <row r="110" spans="1:9" s="511" customFormat="1" ht="13.5" x14ac:dyDescent="0.25">
      <c r="A110" s="482"/>
      <c r="B110" s="483" t="s">
        <v>24</v>
      </c>
      <c r="C110" s="484"/>
      <c r="D110" s="485">
        <f>SUM(D105:D109)</f>
        <v>8102993</v>
      </c>
      <c r="E110" s="485">
        <f>SUM(E105:E109)</f>
        <v>1176372</v>
      </c>
      <c r="F110" s="485">
        <f>SUM(F105:F109)</f>
        <v>1317500</v>
      </c>
      <c r="G110" s="485">
        <f>SUM(G105:G109)</f>
        <v>1102650</v>
      </c>
      <c r="H110" s="485"/>
      <c r="I110" s="485">
        <f>SUM(I105:I109)</f>
        <v>11699515</v>
      </c>
    </row>
    <row r="111" spans="1:9" ht="13.5" x14ac:dyDescent="0.25">
      <c r="A111" s="470"/>
      <c r="B111" s="486"/>
      <c r="C111" s="513"/>
      <c r="D111" s="487"/>
      <c r="E111" s="487"/>
      <c r="F111" s="487"/>
      <c r="G111" s="487"/>
      <c r="H111" s="487"/>
      <c r="I111" s="487"/>
    </row>
    <row r="112" spans="1:9" ht="40.5" customHeight="1" x14ac:dyDescent="0.25">
      <c r="A112" s="472">
        <v>3</v>
      </c>
      <c r="B112" s="473" t="s">
        <v>832</v>
      </c>
      <c r="C112" s="681" t="s">
        <v>833</v>
      </c>
      <c r="D112" s="681"/>
      <c r="E112" s="487"/>
      <c r="F112" s="487"/>
      <c r="G112" s="487"/>
      <c r="H112" s="487"/>
      <c r="I112" s="509"/>
    </row>
    <row r="113" spans="1:9" x14ac:dyDescent="0.2">
      <c r="A113" s="461"/>
      <c r="B113" s="475" t="s">
        <v>29</v>
      </c>
      <c r="C113" s="461"/>
      <c r="D113" s="465"/>
      <c r="E113" s="465"/>
      <c r="F113" s="465"/>
      <c r="G113" s="465"/>
      <c r="H113" s="465"/>
      <c r="I113" s="465"/>
    </row>
    <row r="114" spans="1:9" x14ac:dyDescent="0.2">
      <c r="A114" s="461"/>
      <c r="B114" s="476" t="s">
        <v>855</v>
      </c>
      <c r="C114" s="477" t="s">
        <v>858</v>
      </c>
      <c r="D114" s="465">
        <v>10836404</v>
      </c>
      <c r="E114" s="465">
        <v>592500</v>
      </c>
      <c r="F114" s="465"/>
      <c r="G114" s="465"/>
      <c r="H114" s="465"/>
      <c r="I114" s="465">
        <f>SUM(D114:H114)</f>
        <v>11428904</v>
      </c>
    </row>
    <row r="115" spans="1:9" x14ac:dyDescent="0.2">
      <c r="A115" s="461"/>
      <c r="B115" s="476"/>
      <c r="C115" s="477" t="s">
        <v>859</v>
      </c>
      <c r="D115" s="465">
        <v>1982269</v>
      </c>
      <c r="E115" s="465">
        <v>78634</v>
      </c>
      <c r="F115" s="465"/>
      <c r="G115" s="465"/>
      <c r="H115" s="465"/>
      <c r="I115" s="465">
        <f>SUM(D115:H115)</f>
        <v>2060903</v>
      </c>
    </row>
    <row r="116" spans="1:9" x14ac:dyDescent="0.2">
      <c r="A116" s="461"/>
      <c r="B116" s="476"/>
      <c r="C116" s="477" t="s">
        <v>856</v>
      </c>
      <c r="D116" s="465">
        <v>6020051</v>
      </c>
      <c r="E116" s="465">
        <v>1464600</v>
      </c>
      <c r="F116" s="465">
        <v>1809050</v>
      </c>
      <c r="G116" s="465">
        <v>725610</v>
      </c>
      <c r="H116" s="465"/>
      <c r="I116" s="465">
        <f>SUM(D116:H116)</f>
        <v>10019311</v>
      </c>
    </row>
    <row r="117" spans="1:9" x14ac:dyDescent="0.2">
      <c r="A117" s="461"/>
      <c r="B117" s="476"/>
      <c r="C117" s="477" t="s">
        <v>860</v>
      </c>
      <c r="D117" s="465">
        <v>0</v>
      </c>
      <c r="E117" s="465">
        <v>323785</v>
      </c>
      <c r="F117" s="465"/>
      <c r="G117" s="465"/>
      <c r="H117" s="465"/>
      <c r="I117" s="465">
        <f>SUM(D117:H117)</f>
        <v>323785</v>
      </c>
    </row>
    <row r="118" spans="1:9" ht="13.5" x14ac:dyDescent="0.25">
      <c r="A118" s="482"/>
      <c r="B118" s="483" t="s">
        <v>24</v>
      </c>
      <c r="C118" s="484"/>
      <c r="D118" s="485">
        <f>SUM(D114:D117)</f>
        <v>18838724</v>
      </c>
      <c r="E118" s="485">
        <f>SUM(E114:E117)</f>
        <v>2459519</v>
      </c>
      <c r="F118" s="485">
        <f>SUM(F114:F117)</f>
        <v>1809050</v>
      </c>
      <c r="G118" s="485">
        <f>SUM(G114:G117)</f>
        <v>725610</v>
      </c>
      <c r="H118" s="485"/>
      <c r="I118" s="485">
        <f>SUM(I114:I117)</f>
        <v>23832903</v>
      </c>
    </row>
    <row r="119" spans="1:9" s="317" customFormat="1" ht="13.5" x14ac:dyDescent="0.25">
      <c r="A119" s="461"/>
      <c r="B119" s="486"/>
      <c r="C119" s="470"/>
      <c r="D119" s="487"/>
      <c r="E119" s="487"/>
      <c r="F119" s="487"/>
      <c r="G119" s="487"/>
      <c r="H119" s="487"/>
      <c r="I119" s="487"/>
    </row>
    <row r="120" spans="1:9" s="317" customFormat="1" ht="25.5" x14ac:dyDescent="0.25">
      <c r="A120" s="472">
        <v>4</v>
      </c>
      <c r="B120" s="473" t="s">
        <v>834</v>
      </c>
      <c r="C120" s="474" t="s">
        <v>835</v>
      </c>
      <c r="D120" s="487"/>
      <c r="E120" s="487"/>
      <c r="F120" s="487"/>
      <c r="G120" s="487"/>
      <c r="H120" s="487"/>
      <c r="I120" s="509"/>
    </row>
    <row r="121" spans="1:9" s="317" customFormat="1" x14ac:dyDescent="0.2">
      <c r="A121" s="461"/>
      <c r="B121" s="475" t="s">
        <v>29</v>
      </c>
      <c r="C121" s="461"/>
      <c r="D121" s="465"/>
      <c r="E121" s="465"/>
      <c r="F121" s="465"/>
      <c r="G121" s="465"/>
      <c r="H121" s="465"/>
      <c r="I121" s="465"/>
    </row>
    <row r="122" spans="1:9" s="317" customFormat="1" ht="26.25" customHeight="1" x14ac:dyDescent="0.2">
      <c r="A122" s="461"/>
      <c r="B122" s="476" t="s">
        <v>855</v>
      </c>
      <c r="C122" s="510" t="s">
        <v>857</v>
      </c>
      <c r="D122" s="465">
        <v>0</v>
      </c>
      <c r="E122" s="465">
        <v>0</v>
      </c>
      <c r="F122" s="8">
        <v>0</v>
      </c>
      <c r="G122" s="465">
        <v>238735365</v>
      </c>
      <c r="H122" s="465"/>
      <c r="I122" s="465">
        <f>SUM(D122:H122)</f>
        <v>238735365</v>
      </c>
    </row>
    <row r="123" spans="1:9" s="317" customFormat="1" x14ac:dyDescent="0.2">
      <c r="A123" s="461"/>
      <c r="B123" s="476"/>
      <c r="C123" s="477" t="s">
        <v>856</v>
      </c>
      <c r="D123" s="465">
        <v>490000</v>
      </c>
      <c r="E123" s="465">
        <v>0</v>
      </c>
      <c r="F123" s="8">
        <v>0</v>
      </c>
      <c r="G123" s="465">
        <v>3844837</v>
      </c>
      <c r="H123" s="465"/>
      <c r="I123" s="465">
        <f>SUM(D123:H123)</f>
        <v>4334837</v>
      </c>
    </row>
    <row r="124" spans="1:9" s="317" customFormat="1" x14ac:dyDescent="0.2">
      <c r="A124" s="461"/>
      <c r="B124" s="476"/>
      <c r="C124" s="477" t="s">
        <v>861</v>
      </c>
      <c r="D124" s="8"/>
      <c r="E124" s="8"/>
      <c r="F124" s="8">
        <v>0</v>
      </c>
      <c r="G124" s="596">
        <v>9868106</v>
      </c>
      <c r="H124" s="465"/>
      <c r="I124" s="465">
        <f>SUM(D124:H124)</f>
        <v>9868106</v>
      </c>
    </row>
    <row r="125" spans="1:9" ht="13.5" x14ac:dyDescent="0.25">
      <c r="A125" s="478"/>
      <c r="B125" s="479" t="s">
        <v>24</v>
      </c>
      <c r="C125" s="480"/>
      <c r="D125" s="481">
        <f>SUM(D122:D124)</f>
        <v>490000</v>
      </c>
      <c r="E125" s="481">
        <f t="shared" ref="E125:G125" si="8">SUM(E122:E124)</f>
        <v>0</v>
      </c>
      <c r="F125" s="481">
        <f t="shared" si="8"/>
        <v>0</v>
      </c>
      <c r="G125" s="481">
        <f t="shared" si="8"/>
        <v>252448308</v>
      </c>
      <c r="H125" s="481"/>
      <c r="I125" s="481">
        <f>SUM(I122:I124)</f>
        <v>252938308</v>
      </c>
    </row>
    <row r="126" spans="1:9" ht="13.5" x14ac:dyDescent="0.25">
      <c r="A126" s="461"/>
      <c r="B126" s="486"/>
      <c r="C126" s="470"/>
      <c r="D126" s="487"/>
      <c r="E126" s="487"/>
      <c r="F126" s="487"/>
      <c r="G126" s="487"/>
      <c r="H126" s="487"/>
      <c r="I126" s="487"/>
    </row>
    <row r="127" spans="1:9" ht="13.5" x14ac:dyDescent="0.2">
      <c r="A127" s="472">
        <v>5</v>
      </c>
      <c r="B127" s="473" t="s">
        <v>836</v>
      </c>
      <c r="C127" s="474" t="s">
        <v>837</v>
      </c>
      <c r="D127" s="470"/>
      <c r="E127" s="470"/>
      <c r="F127" s="470"/>
      <c r="G127" s="470"/>
      <c r="H127" s="470"/>
      <c r="I127" s="471"/>
    </row>
    <row r="128" spans="1:9" ht="13.5" x14ac:dyDescent="0.2">
      <c r="A128" s="469"/>
      <c r="B128" s="475" t="s">
        <v>29</v>
      </c>
      <c r="C128" s="470"/>
      <c r="D128" s="470"/>
      <c r="E128" s="470"/>
      <c r="F128" s="470"/>
      <c r="G128" s="470"/>
      <c r="H128" s="470"/>
      <c r="I128" s="471"/>
    </row>
    <row r="129" spans="1:14" x14ac:dyDescent="0.2">
      <c r="A129" s="461"/>
      <c r="B129" s="476" t="s">
        <v>863</v>
      </c>
      <c r="C129" s="477" t="s">
        <v>856</v>
      </c>
      <c r="D129" s="465">
        <v>896750</v>
      </c>
      <c r="E129" s="465">
        <v>100000</v>
      </c>
      <c r="F129" s="465">
        <v>2167500</v>
      </c>
      <c r="G129" s="465">
        <v>6350</v>
      </c>
      <c r="H129" s="465"/>
      <c r="I129" s="465">
        <f>SUM(D129:H129)</f>
        <v>3170600</v>
      </c>
    </row>
    <row r="130" spans="1:14" ht="25.5" x14ac:dyDescent="0.2">
      <c r="A130" s="472"/>
      <c r="B130" s="473"/>
      <c r="C130" s="510" t="s">
        <v>857</v>
      </c>
      <c r="D130" s="465">
        <v>38845071</v>
      </c>
      <c r="E130" s="465">
        <v>1529080</v>
      </c>
      <c r="F130" s="465">
        <v>106387549</v>
      </c>
      <c r="G130" s="465"/>
      <c r="H130" s="465"/>
      <c r="I130" s="465">
        <f>SUM(D130:H130)</f>
        <v>146761700</v>
      </c>
    </row>
    <row r="131" spans="1:14" ht="13.5" x14ac:dyDescent="0.25">
      <c r="A131" s="490"/>
      <c r="B131" s="491" t="s">
        <v>24</v>
      </c>
      <c r="C131" s="512"/>
      <c r="D131" s="485">
        <f>SUM(D129:D130)</f>
        <v>39741821</v>
      </c>
      <c r="E131" s="485">
        <f>SUM(E129:E130)</f>
        <v>1629080</v>
      </c>
      <c r="F131" s="485">
        <f>SUM(F129:F130)</f>
        <v>108555049</v>
      </c>
      <c r="G131" s="485">
        <f>SUM(G129:G130)</f>
        <v>6350</v>
      </c>
      <c r="H131" s="485"/>
      <c r="I131" s="485">
        <f>SUM(I129:I130)</f>
        <v>149932300</v>
      </c>
    </row>
    <row r="132" spans="1:14" ht="13.5" x14ac:dyDescent="0.25">
      <c r="B132" s="492"/>
      <c r="C132" s="513"/>
      <c r="D132" s="487"/>
      <c r="E132" s="487"/>
      <c r="F132" s="487"/>
      <c r="G132" s="487"/>
      <c r="H132" s="487"/>
      <c r="I132" s="487"/>
    </row>
    <row r="133" spans="1:14" ht="25.5" x14ac:dyDescent="0.25">
      <c r="A133" s="472">
        <v>6</v>
      </c>
      <c r="B133" s="473" t="s">
        <v>839</v>
      </c>
      <c r="C133" s="474" t="s">
        <v>840</v>
      </c>
      <c r="D133" s="487"/>
      <c r="E133" s="487"/>
      <c r="F133" s="487"/>
      <c r="G133" s="487"/>
      <c r="H133" s="487"/>
      <c r="I133" s="509"/>
      <c r="J133" s="487"/>
      <c r="K133" s="487"/>
      <c r="L133" s="487"/>
      <c r="M133" s="487"/>
      <c r="N133" s="509"/>
    </row>
    <row r="134" spans="1:14" x14ac:dyDescent="0.2">
      <c r="A134" s="461"/>
      <c r="B134" s="475" t="s">
        <v>29</v>
      </c>
      <c r="C134" s="461"/>
      <c r="D134" s="465"/>
      <c r="E134" s="465"/>
      <c r="F134" s="465"/>
      <c r="G134" s="465"/>
      <c r="H134" s="465"/>
      <c r="I134" s="465"/>
      <c r="J134" s="465"/>
      <c r="K134" s="465"/>
      <c r="L134" s="465"/>
      <c r="M134" s="465"/>
      <c r="N134" s="465"/>
    </row>
    <row r="135" spans="1:14" x14ac:dyDescent="0.2">
      <c r="A135" s="461"/>
      <c r="B135" s="476" t="s">
        <v>855</v>
      </c>
      <c r="C135" s="477" t="s">
        <v>856</v>
      </c>
      <c r="D135" s="465">
        <v>254840</v>
      </c>
      <c r="E135" s="465">
        <v>1600000</v>
      </c>
      <c r="F135" s="465"/>
      <c r="G135" s="465">
        <v>2493600</v>
      </c>
      <c r="H135" s="465"/>
      <c r="I135" s="465">
        <f>SUM(D135:H135)</f>
        <v>4348440</v>
      </c>
    </row>
    <row r="136" spans="1:14" ht="25.5" x14ac:dyDescent="0.2">
      <c r="A136" s="461"/>
      <c r="B136" s="476"/>
      <c r="C136" s="510" t="s">
        <v>857</v>
      </c>
      <c r="D136" s="465">
        <v>25127723</v>
      </c>
      <c r="E136" s="465">
        <f>67669517-4229438</f>
        <v>63440079</v>
      </c>
      <c r="F136" s="465">
        <f>88584481+176785317+16919249+962134+4229438</f>
        <v>287480619</v>
      </c>
      <c r="G136" s="465">
        <f>20442572+40796611+8421825+16297132+18834938+38098350</f>
        <v>142891428</v>
      </c>
      <c r="H136" s="465"/>
      <c r="I136" s="465">
        <f>SUM(D136:H136)</f>
        <v>518939849</v>
      </c>
    </row>
    <row r="137" spans="1:14" ht="13.5" x14ac:dyDescent="0.25">
      <c r="A137" s="484"/>
      <c r="B137" s="483" t="s">
        <v>24</v>
      </c>
      <c r="C137" s="512"/>
      <c r="D137" s="485">
        <f>SUM(D135:D136)</f>
        <v>25382563</v>
      </c>
      <c r="E137" s="485">
        <f>SUM(E135:E136)</f>
        <v>65040079</v>
      </c>
      <c r="F137" s="485">
        <f>SUM(F135:F136)</f>
        <v>287480619</v>
      </c>
      <c r="G137" s="485">
        <f>SUM(G135:G136)</f>
        <v>145385028</v>
      </c>
      <c r="H137" s="485"/>
      <c r="I137" s="485">
        <f>SUM(I135:I136)</f>
        <v>523288289</v>
      </c>
    </row>
    <row r="138" spans="1:14" ht="13.5" x14ac:dyDescent="0.25">
      <c r="B138" s="492"/>
      <c r="C138" s="470"/>
      <c r="D138" s="470"/>
      <c r="E138" s="470"/>
      <c r="F138" s="470"/>
      <c r="G138" s="470"/>
      <c r="H138" s="470"/>
      <c r="I138" s="471"/>
    </row>
    <row r="139" spans="1:14" ht="27.75" customHeight="1" x14ac:dyDescent="0.2">
      <c r="A139" s="472">
        <v>7</v>
      </c>
      <c r="B139" s="495" t="s">
        <v>841</v>
      </c>
      <c r="C139" s="681" t="s">
        <v>987</v>
      </c>
      <c r="D139" s="681"/>
      <c r="E139" s="470"/>
      <c r="F139" s="470"/>
      <c r="G139" s="470"/>
      <c r="H139" s="470"/>
      <c r="I139" s="471"/>
      <c r="K139" s="470"/>
      <c r="L139" s="470"/>
      <c r="M139" s="470"/>
      <c r="N139" s="471"/>
    </row>
    <row r="140" spans="1:14" ht="13.5" x14ac:dyDescent="0.2">
      <c r="A140" s="496"/>
      <c r="B140" s="498" t="s">
        <v>29</v>
      </c>
      <c r="C140" s="474"/>
      <c r="E140" s="470"/>
      <c r="F140" s="470"/>
      <c r="G140" s="470"/>
      <c r="H140" s="470"/>
      <c r="I140" s="471"/>
      <c r="K140" s="470"/>
      <c r="L140" s="470"/>
      <c r="M140" s="470"/>
      <c r="N140" s="471"/>
    </row>
    <row r="141" spans="1:14" x14ac:dyDescent="0.2">
      <c r="B141" s="476" t="s">
        <v>863</v>
      </c>
      <c r="C141" s="477" t="s">
        <v>856</v>
      </c>
      <c r="D141" s="465">
        <v>1127046</v>
      </c>
      <c r="E141" s="465">
        <v>887350</v>
      </c>
      <c r="F141" s="465">
        <v>75000</v>
      </c>
      <c r="G141" s="465">
        <f>2514600+406350</f>
        <v>2920950</v>
      </c>
      <c r="H141" s="465"/>
      <c r="I141" s="465">
        <f>SUM(D141:H141)</f>
        <v>5010346</v>
      </c>
    </row>
    <row r="142" spans="1:14" ht="25.5" x14ac:dyDescent="0.2">
      <c r="B142" s="473"/>
      <c r="C142" s="510" t="s">
        <v>857</v>
      </c>
      <c r="D142" s="465">
        <v>14356260</v>
      </c>
      <c r="E142" s="465">
        <v>46532450</v>
      </c>
      <c r="F142" s="465">
        <f>120022929+28642574</f>
        <v>148665503</v>
      </c>
      <c r="G142" s="465">
        <v>60920634</v>
      </c>
      <c r="H142" s="465"/>
      <c r="I142" s="465">
        <f>SUM(D142:H142)</f>
        <v>270474847</v>
      </c>
    </row>
    <row r="143" spans="1:14" x14ac:dyDescent="0.2">
      <c r="B143" s="473"/>
      <c r="C143" s="510" t="s">
        <v>864</v>
      </c>
      <c r="D143" s="465"/>
      <c r="E143" s="465">
        <v>15737360</v>
      </c>
      <c r="F143" s="465"/>
      <c r="G143" s="465"/>
      <c r="H143" s="465"/>
      <c r="I143" s="465">
        <f t="shared" ref="I143:I144" si="9">SUM(D143:G143)</f>
        <v>15737360</v>
      </c>
    </row>
    <row r="144" spans="1:14" ht="12.75" customHeight="1" x14ac:dyDescent="0.2">
      <c r="B144" s="499"/>
      <c r="C144" s="477" t="s">
        <v>861</v>
      </c>
      <c r="D144" s="465">
        <v>0</v>
      </c>
      <c r="F144" s="465"/>
      <c r="G144" s="465"/>
      <c r="H144" s="465"/>
      <c r="I144" s="465">
        <f t="shared" si="9"/>
        <v>0</v>
      </c>
    </row>
    <row r="145" spans="1:9" s="511" customFormat="1" ht="13.5" x14ac:dyDescent="0.25">
      <c r="A145" s="514"/>
      <c r="B145" s="491" t="s">
        <v>24</v>
      </c>
      <c r="C145" s="512"/>
      <c r="D145" s="485">
        <f>SUM(D141:D144)</f>
        <v>15483306</v>
      </c>
      <c r="E145" s="485">
        <f>SUM(E141:E144)</f>
        <v>63157160</v>
      </c>
      <c r="F145" s="485">
        <f>SUM(F141:F144)</f>
        <v>148740503</v>
      </c>
      <c r="G145" s="485">
        <f>SUM(G141:G144)</f>
        <v>63841584</v>
      </c>
      <c r="H145" s="485"/>
      <c r="I145" s="485">
        <f>SUM(I141:I144)</f>
        <v>291222553</v>
      </c>
    </row>
    <row r="146" spans="1:9" s="511" customFormat="1" ht="13.5" x14ac:dyDescent="0.25">
      <c r="A146" s="470"/>
      <c r="B146" s="486"/>
      <c r="C146" s="513"/>
      <c r="D146" s="487"/>
      <c r="E146" s="487"/>
      <c r="F146" s="487"/>
      <c r="G146" s="487"/>
      <c r="H146" s="487"/>
      <c r="I146" s="487"/>
    </row>
    <row r="147" spans="1:9" s="511" customFormat="1" ht="13.5" x14ac:dyDescent="0.2">
      <c r="A147" s="461">
        <v>8</v>
      </c>
      <c r="B147" s="473" t="s">
        <v>842</v>
      </c>
      <c r="C147" s="474" t="s">
        <v>843</v>
      </c>
      <c r="D147" s="8"/>
      <c r="E147" s="470"/>
      <c r="F147" s="470"/>
      <c r="G147" s="470"/>
      <c r="H147" s="470"/>
      <c r="I147" s="471"/>
    </row>
    <row r="148" spans="1:9" s="511" customFormat="1" ht="13.5" x14ac:dyDescent="0.2">
      <c r="A148" s="461"/>
      <c r="B148" s="498" t="s">
        <v>29</v>
      </c>
      <c r="C148" s="474"/>
      <c r="D148" s="8"/>
      <c r="E148" s="470"/>
      <c r="F148" s="470"/>
      <c r="G148" s="470"/>
      <c r="H148" s="470"/>
      <c r="I148" s="471"/>
    </row>
    <row r="149" spans="1:9" s="511" customFormat="1" x14ac:dyDescent="0.2">
      <c r="A149" s="461"/>
      <c r="B149" s="476" t="s">
        <v>863</v>
      </c>
      <c r="C149" s="477" t="s">
        <v>858</v>
      </c>
      <c r="D149" s="465">
        <v>0</v>
      </c>
      <c r="E149" s="465">
        <v>0</v>
      </c>
      <c r="F149" s="465"/>
      <c r="G149" s="465">
        <v>2845167</v>
      </c>
      <c r="H149" s="465"/>
      <c r="I149" s="465">
        <f>SUM(D149:H149)</f>
        <v>2845167</v>
      </c>
    </row>
    <row r="150" spans="1:9" s="511" customFormat="1" ht="13.5" x14ac:dyDescent="0.25">
      <c r="A150" s="461"/>
      <c r="B150" s="486"/>
      <c r="C150" s="477" t="s">
        <v>859</v>
      </c>
      <c r="D150" s="465">
        <v>0</v>
      </c>
      <c r="E150" s="465">
        <v>0</v>
      </c>
      <c r="F150" s="465"/>
      <c r="G150" s="465">
        <v>554814</v>
      </c>
      <c r="H150" s="465"/>
      <c r="I150" s="465">
        <f>SUM(D150:H150)</f>
        <v>554814</v>
      </c>
    </row>
    <row r="151" spans="1:9" s="511" customFormat="1" ht="13.5" x14ac:dyDescent="0.25">
      <c r="A151" s="461"/>
      <c r="B151" s="486"/>
      <c r="C151" s="477" t="s">
        <v>856</v>
      </c>
      <c r="D151" s="465">
        <v>0</v>
      </c>
      <c r="E151" s="465">
        <v>0</v>
      </c>
      <c r="F151" s="465"/>
      <c r="G151" s="465">
        <v>2537607</v>
      </c>
      <c r="H151" s="465"/>
      <c r="I151" s="465">
        <f>SUM(D151:H151)</f>
        <v>2537607</v>
      </c>
    </row>
    <row r="152" spans="1:9" s="511" customFormat="1" ht="25.5" x14ac:dyDescent="0.25">
      <c r="A152" s="461"/>
      <c r="B152" s="486"/>
      <c r="C152" s="510" t="s">
        <v>857</v>
      </c>
      <c r="D152" s="465">
        <v>8576498</v>
      </c>
      <c r="E152" s="465">
        <v>0</v>
      </c>
      <c r="F152" s="465">
        <v>8286500</v>
      </c>
      <c r="G152" s="465">
        <v>109275893</v>
      </c>
      <c r="H152" s="465"/>
      <c r="I152" s="465">
        <f>SUM(D152:H152)</f>
        <v>126138891</v>
      </c>
    </row>
    <row r="153" spans="1:9" s="511" customFormat="1" x14ac:dyDescent="0.2">
      <c r="A153" s="461"/>
      <c r="B153" s="499"/>
      <c r="C153" s="477" t="s">
        <v>861</v>
      </c>
      <c r="D153" s="465">
        <v>0</v>
      </c>
      <c r="E153" s="465"/>
      <c r="F153" s="465"/>
      <c r="G153" s="465">
        <v>5000000</v>
      </c>
      <c r="H153" s="465"/>
      <c r="I153" s="465">
        <f>SUM(D153:H153)</f>
        <v>5000000</v>
      </c>
    </row>
    <row r="154" spans="1:9" s="511" customFormat="1" ht="13.5" x14ac:dyDescent="0.25">
      <c r="A154" s="482"/>
      <c r="B154" s="491" t="s">
        <v>24</v>
      </c>
      <c r="C154" s="512"/>
      <c r="D154" s="485">
        <f>SUM(D149:D153)</f>
        <v>8576498</v>
      </c>
      <c r="E154" s="485">
        <f>SUM(E149:E153)</f>
        <v>0</v>
      </c>
      <c r="F154" s="485">
        <f>SUM(F149:F153)</f>
        <v>8286500</v>
      </c>
      <c r="G154" s="485">
        <f>SUM(G149:G153)</f>
        <v>120213481</v>
      </c>
      <c r="H154" s="485"/>
      <c r="I154" s="485">
        <f>SUM(I149:I153)</f>
        <v>137076479</v>
      </c>
    </row>
    <row r="155" spans="1:9" s="511" customFormat="1" ht="13.5" x14ac:dyDescent="0.25">
      <c r="A155" s="461"/>
      <c r="B155" s="486"/>
      <c r="C155" s="513"/>
      <c r="D155" s="487"/>
      <c r="E155" s="487"/>
      <c r="F155" s="487"/>
      <c r="G155" s="487"/>
      <c r="H155" s="487"/>
      <c r="I155" s="487"/>
    </row>
    <row r="156" spans="1:9" s="511" customFormat="1" ht="25.5" x14ac:dyDescent="0.25">
      <c r="A156" s="472">
        <v>9</v>
      </c>
      <c r="B156" s="473" t="s">
        <v>844</v>
      </c>
      <c r="C156" s="474" t="s">
        <v>845</v>
      </c>
      <c r="D156" s="487"/>
      <c r="E156" s="487"/>
      <c r="F156" s="487"/>
      <c r="G156" s="487"/>
      <c r="H156" s="487"/>
      <c r="I156" s="509"/>
    </row>
    <row r="157" spans="1:9" s="511" customFormat="1" x14ac:dyDescent="0.2">
      <c r="A157" s="461"/>
      <c r="B157" s="475" t="s">
        <v>29</v>
      </c>
      <c r="C157" s="461"/>
      <c r="D157" s="465"/>
      <c r="E157" s="465"/>
      <c r="F157" s="465"/>
      <c r="G157" s="465"/>
      <c r="H157" s="465"/>
      <c r="I157" s="465"/>
    </row>
    <row r="158" spans="1:9" s="511" customFormat="1" x14ac:dyDescent="0.2">
      <c r="A158" s="461"/>
      <c r="B158" s="476" t="s">
        <v>855</v>
      </c>
      <c r="C158" s="477" t="s">
        <v>856</v>
      </c>
      <c r="D158" s="465">
        <v>0</v>
      </c>
      <c r="E158" s="465"/>
      <c r="F158" s="465">
        <v>5424688</v>
      </c>
      <c r="G158" s="465">
        <v>3140522</v>
      </c>
      <c r="H158" s="465"/>
      <c r="I158" s="465">
        <f>SUM(D158:H158)</f>
        <v>8565210</v>
      </c>
    </row>
    <row r="159" spans="1:9" s="511" customFormat="1" ht="25.5" x14ac:dyDescent="0.2">
      <c r="A159" s="461"/>
      <c r="B159" s="476"/>
      <c r="C159" s="515" t="s">
        <v>857</v>
      </c>
      <c r="D159" s="465">
        <v>0</v>
      </c>
      <c r="E159" s="465"/>
      <c r="F159" s="465">
        <v>116108000</v>
      </c>
      <c r="G159" s="465">
        <v>187631273</v>
      </c>
      <c r="H159" s="465"/>
      <c r="I159" s="465">
        <f>SUM(D159:H159)</f>
        <v>303739273</v>
      </c>
    </row>
    <row r="160" spans="1:9" s="511" customFormat="1" ht="13.5" x14ac:dyDescent="0.25">
      <c r="A160" s="478"/>
      <c r="B160" s="479" t="s">
        <v>24</v>
      </c>
      <c r="C160" s="480"/>
      <c r="D160" s="481">
        <f>SUM(D158:D159)</f>
        <v>0</v>
      </c>
      <c r="E160" s="481">
        <f>SUM(E158:E159)</f>
        <v>0</v>
      </c>
      <c r="F160" s="481">
        <f>SUM(F158:F159)</f>
        <v>121532688</v>
      </c>
      <c r="G160" s="481">
        <f>SUM(G158:G159)</f>
        <v>190771795</v>
      </c>
      <c r="H160" s="481"/>
      <c r="I160" s="481">
        <f>SUM(I158:I159)</f>
        <v>312304483</v>
      </c>
    </row>
    <row r="161" spans="1:14" s="511" customFormat="1" ht="13.5" x14ac:dyDescent="0.25">
      <c r="A161" s="461"/>
      <c r="B161" s="486"/>
      <c r="C161" s="470"/>
      <c r="D161" s="487"/>
      <c r="E161" s="487"/>
      <c r="F161" s="487"/>
      <c r="G161" s="487"/>
      <c r="H161" s="487"/>
      <c r="I161" s="487"/>
      <c r="J161" s="487"/>
      <c r="K161" s="487"/>
      <c r="L161" s="487"/>
      <c r="M161" s="487"/>
      <c r="N161" s="487"/>
    </row>
    <row r="162" spans="1:14" s="511" customFormat="1" ht="25.5" x14ac:dyDescent="0.25">
      <c r="A162" s="472">
        <v>10</v>
      </c>
      <c r="B162" s="473" t="s">
        <v>847</v>
      </c>
      <c r="C162" s="474" t="s">
        <v>848</v>
      </c>
      <c r="D162" s="487"/>
      <c r="E162" s="487"/>
      <c r="F162" s="487"/>
      <c r="G162" s="487"/>
      <c r="H162" s="487"/>
      <c r="I162" s="509"/>
      <c r="J162" s="487"/>
      <c r="K162" s="487"/>
      <c r="L162" s="487"/>
      <c r="M162" s="487"/>
      <c r="N162" s="509"/>
    </row>
    <row r="163" spans="1:14" s="511" customFormat="1" x14ac:dyDescent="0.2">
      <c r="A163" s="461"/>
      <c r="B163" s="475" t="s">
        <v>29</v>
      </c>
      <c r="C163" s="8"/>
      <c r="D163" s="8"/>
      <c r="E163" s="8"/>
      <c r="F163" s="8"/>
      <c r="G163" s="8"/>
      <c r="H163" s="8"/>
      <c r="I163" s="8"/>
      <c r="J163" s="8"/>
      <c r="K163" s="8"/>
      <c r="L163" s="8"/>
      <c r="M163" s="8"/>
      <c r="N163" s="8"/>
    </row>
    <row r="164" spans="1:14" s="511" customFormat="1" x14ac:dyDescent="0.2">
      <c r="A164" s="461"/>
      <c r="B164" s="476" t="s">
        <v>855</v>
      </c>
      <c r="C164" s="461" t="s">
        <v>856</v>
      </c>
      <c r="D164" s="465">
        <v>0</v>
      </c>
      <c r="E164" s="465">
        <v>0</v>
      </c>
      <c r="F164" s="465">
        <v>3835400</v>
      </c>
      <c r="G164" s="465">
        <v>17898600</v>
      </c>
      <c r="H164" s="465"/>
      <c r="I164" s="465">
        <f>SUM(D164:G164)</f>
        <v>21734000</v>
      </c>
    </row>
    <row r="165" spans="1:14" s="511" customFormat="1" ht="25.5" x14ac:dyDescent="0.2">
      <c r="A165" s="461"/>
      <c r="B165" s="476"/>
      <c r="C165" s="510" t="s">
        <v>857</v>
      </c>
      <c r="D165" s="465">
        <v>0</v>
      </c>
      <c r="E165" s="465"/>
      <c r="F165" s="465">
        <v>0</v>
      </c>
      <c r="G165" s="465">
        <v>365965999</v>
      </c>
      <c r="H165" s="465"/>
      <c r="I165" s="465">
        <f>SUM(D165:G165)</f>
        <v>365965999</v>
      </c>
    </row>
    <row r="166" spans="1:14" s="511" customFormat="1" ht="13.5" x14ac:dyDescent="0.25">
      <c r="A166" s="478"/>
      <c r="B166" s="479" t="s">
        <v>24</v>
      </c>
      <c r="C166" s="480"/>
      <c r="D166" s="481">
        <f>SUM(D165:D165)</f>
        <v>0</v>
      </c>
      <c r="E166" s="481">
        <f>SUM(E164:E165)</f>
        <v>0</v>
      </c>
      <c r="F166" s="481">
        <f t="shared" ref="F166:I166" si="10">SUM(F164:F165)</f>
        <v>3835400</v>
      </c>
      <c r="G166" s="481">
        <f t="shared" si="10"/>
        <v>383864599</v>
      </c>
      <c r="H166" s="481"/>
      <c r="I166" s="481">
        <f t="shared" si="10"/>
        <v>387699999</v>
      </c>
    </row>
    <row r="167" spans="1:14" s="511" customFormat="1" ht="13.5" x14ac:dyDescent="0.25">
      <c r="A167" s="461"/>
      <c r="B167" s="486"/>
      <c r="C167" s="470"/>
      <c r="D167" s="487"/>
      <c r="E167" s="487"/>
      <c r="F167" s="487"/>
      <c r="G167" s="487"/>
      <c r="H167" s="487"/>
      <c r="I167" s="487"/>
    </row>
    <row r="168" spans="1:14" s="511" customFormat="1" ht="31.5" customHeight="1" x14ac:dyDescent="0.25">
      <c r="A168" s="472">
        <v>11</v>
      </c>
      <c r="B168" s="473" t="s">
        <v>849</v>
      </c>
      <c r="C168" s="474" t="s">
        <v>850</v>
      </c>
      <c r="D168" s="487"/>
      <c r="E168" s="487"/>
      <c r="F168" s="487"/>
      <c r="G168" s="487"/>
      <c r="H168" s="487"/>
      <c r="I168" s="509"/>
    </row>
    <row r="169" spans="1:14" s="511" customFormat="1" x14ac:dyDescent="0.2">
      <c r="A169" s="461"/>
      <c r="B169" s="475" t="s">
        <v>29</v>
      </c>
      <c r="C169" s="8"/>
      <c r="D169" s="8"/>
      <c r="E169" s="8"/>
      <c r="F169" s="8"/>
      <c r="G169" s="8"/>
      <c r="H169" s="8"/>
      <c r="I169" s="8"/>
    </row>
    <row r="170" spans="1:14" s="511" customFormat="1" x14ac:dyDescent="0.2">
      <c r="A170" s="461"/>
      <c r="B170" s="476" t="s">
        <v>855</v>
      </c>
      <c r="C170" s="461" t="s">
        <v>856</v>
      </c>
      <c r="D170" s="465">
        <v>0</v>
      </c>
      <c r="E170" s="465">
        <v>0</v>
      </c>
      <c r="F170" s="465">
        <v>4292600</v>
      </c>
      <c r="G170" s="465">
        <v>17441400</v>
      </c>
      <c r="H170" s="465"/>
      <c r="I170" s="465">
        <f>SUM(D170:G170)</f>
        <v>21734000</v>
      </c>
    </row>
    <row r="171" spans="1:14" s="511" customFormat="1" ht="25.5" x14ac:dyDescent="0.2">
      <c r="A171" s="461"/>
      <c r="B171" s="476"/>
      <c r="C171" s="510" t="s">
        <v>857</v>
      </c>
      <c r="D171" s="465">
        <v>0</v>
      </c>
      <c r="E171" s="465"/>
      <c r="F171" s="465">
        <v>0</v>
      </c>
      <c r="G171" s="465">
        <v>365965999</v>
      </c>
      <c r="H171" s="465"/>
      <c r="I171" s="465">
        <f>SUM(D171:G171)</f>
        <v>365965999</v>
      </c>
    </row>
    <row r="172" spans="1:14" s="511" customFormat="1" ht="13.5" x14ac:dyDescent="0.25">
      <c r="A172" s="478"/>
      <c r="B172" s="479" t="s">
        <v>24</v>
      </c>
      <c r="C172" s="480"/>
      <c r="D172" s="481">
        <f>SUM(D171:D171)</f>
        <v>0</v>
      </c>
      <c r="E172" s="481">
        <f>SUM(E170:E171)</f>
        <v>0</v>
      </c>
      <c r="F172" s="481">
        <v>4292600</v>
      </c>
      <c r="G172" s="481">
        <v>383407399</v>
      </c>
      <c r="H172" s="481"/>
      <c r="I172" s="481">
        <f t="shared" ref="I172" si="11">SUM(I170:I171)</f>
        <v>387699999</v>
      </c>
    </row>
    <row r="173" spans="1:14" s="511" customFormat="1" ht="13.5" x14ac:dyDescent="0.25">
      <c r="A173" s="461"/>
      <c r="B173" s="486"/>
      <c r="C173" s="470"/>
      <c r="D173" s="487"/>
      <c r="E173" s="487"/>
      <c r="F173" s="487"/>
      <c r="G173" s="487"/>
      <c r="H173" s="487"/>
      <c r="I173" s="487"/>
    </row>
    <row r="174" spans="1:14" s="511" customFormat="1" ht="25.5" x14ac:dyDescent="0.25">
      <c r="A174" s="472">
        <v>12</v>
      </c>
      <c r="B174" s="473" t="s">
        <v>851</v>
      </c>
      <c r="C174" s="474" t="s">
        <v>852</v>
      </c>
      <c r="D174" s="487"/>
      <c r="E174" s="487"/>
      <c r="F174" s="487"/>
      <c r="G174" s="487"/>
      <c r="H174" s="487"/>
      <c r="I174" s="509"/>
    </row>
    <row r="175" spans="1:14" s="511" customFormat="1" x14ac:dyDescent="0.2">
      <c r="A175" s="461"/>
      <c r="B175" s="475" t="s">
        <v>29</v>
      </c>
      <c r="C175" s="8"/>
      <c r="D175" s="8"/>
      <c r="E175" s="8"/>
      <c r="F175" s="8"/>
      <c r="G175" s="8"/>
      <c r="H175" s="8"/>
      <c r="I175" s="8"/>
    </row>
    <row r="176" spans="1:14" s="511" customFormat="1" x14ac:dyDescent="0.2">
      <c r="A176" s="461"/>
      <c r="B176" s="476" t="s">
        <v>855</v>
      </c>
      <c r="C176" s="461" t="s">
        <v>856</v>
      </c>
      <c r="D176" s="465">
        <v>0</v>
      </c>
      <c r="E176" s="465">
        <v>0</v>
      </c>
      <c r="F176" s="465">
        <v>5207000</v>
      </c>
      <c r="G176" s="465">
        <v>19067000</v>
      </c>
      <c r="H176" s="465"/>
      <c r="I176" s="465">
        <f>SUM(D176:H176)</f>
        <v>24274000</v>
      </c>
    </row>
    <row r="177" spans="1:9" s="511" customFormat="1" ht="25.5" x14ac:dyDescent="0.2">
      <c r="A177" s="461"/>
      <c r="B177" s="476"/>
      <c r="C177" s="510" t="s">
        <v>857</v>
      </c>
      <c r="D177" s="465">
        <v>0</v>
      </c>
      <c r="E177" s="465"/>
      <c r="F177" s="465">
        <v>0</v>
      </c>
      <c r="G177" s="465">
        <v>363425999</v>
      </c>
      <c r="H177" s="465"/>
      <c r="I177" s="465">
        <f>SUM(D177:H177)</f>
        <v>363425999</v>
      </c>
    </row>
    <row r="178" spans="1:9" s="511" customFormat="1" ht="13.5" x14ac:dyDescent="0.25">
      <c r="A178" s="478"/>
      <c r="B178" s="479" t="s">
        <v>24</v>
      </c>
      <c r="C178" s="480"/>
      <c r="D178" s="481">
        <f>SUM(D177:D177)</f>
        <v>0</v>
      </c>
      <c r="E178" s="481">
        <f>SUM(E176:E177)</f>
        <v>0</v>
      </c>
      <c r="F178" s="481">
        <f t="shared" ref="F178:I178" si="12">SUM(F176:F177)</f>
        <v>5207000</v>
      </c>
      <c r="G178" s="481">
        <f t="shared" si="12"/>
        <v>382492999</v>
      </c>
      <c r="H178" s="481"/>
      <c r="I178" s="481">
        <f t="shared" si="12"/>
        <v>387699999</v>
      </c>
    </row>
    <row r="179" spans="1:9" s="511" customFormat="1" ht="13.5" x14ac:dyDescent="0.25">
      <c r="A179" s="461"/>
      <c r="B179" s="463"/>
      <c r="C179" s="513"/>
      <c r="D179" s="487"/>
      <c r="E179" s="487"/>
      <c r="F179" s="487"/>
      <c r="G179" s="487"/>
      <c r="H179" s="487"/>
      <c r="I179" s="487"/>
    </row>
    <row r="180" spans="1:9" s="511" customFormat="1" ht="30.75" customHeight="1" x14ac:dyDescent="0.2">
      <c r="A180" s="461">
        <v>13</v>
      </c>
      <c r="B180" s="473" t="s">
        <v>853</v>
      </c>
      <c r="C180" s="681" t="s">
        <v>988</v>
      </c>
      <c r="D180" s="681"/>
      <c r="E180" s="470"/>
      <c r="F180" s="470"/>
      <c r="G180" s="470"/>
      <c r="H180" s="470"/>
      <c r="I180" s="471"/>
    </row>
    <row r="181" spans="1:9" s="511" customFormat="1" ht="13.5" x14ac:dyDescent="0.2">
      <c r="A181" s="470"/>
      <c r="B181" s="498" t="s">
        <v>29</v>
      </c>
      <c r="C181" s="474"/>
      <c r="D181" s="8"/>
      <c r="E181" s="470"/>
      <c r="F181" s="470"/>
      <c r="G181" s="470"/>
      <c r="H181" s="470"/>
      <c r="I181" s="471"/>
    </row>
    <row r="182" spans="1:9" s="511" customFormat="1" ht="13.5" x14ac:dyDescent="0.2">
      <c r="A182" s="470"/>
      <c r="B182" s="476" t="s">
        <v>863</v>
      </c>
      <c r="C182" s="477"/>
      <c r="D182" s="465"/>
      <c r="E182" s="465"/>
      <c r="F182" s="465"/>
      <c r="G182" s="465"/>
      <c r="H182" s="465"/>
      <c r="I182" s="465"/>
    </row>
    <row r="183" spans="1:9" s="511" customFormat="1" ht="13.5" x14ac:dyDescent="0.25">
      <c r="A183" s="470"/>
      <c r="B183" s="486"/>
      <c r="C183" s="477" t="s">
        <v>856</v>
      </c>
      <c r="D183" s="465"/>
      <c r="E183" s="465"/>
      <c r="F183" s="465">
        <v>9207500</v>
      </c>
      <c r="G183" s="465">
        <v>38626797</v>
      </c>
      <c r="H183" s="465">
        <v>32164200</v>
      </c>
      <c r="I183" s="465">
        <f>SUM(F183:H183)</f>
        <v>79998497</v>
      </c>
    </row>
    <row r="184" spans="1:9" s="511" customFormat="1" ht="13.5" x14ac:dyDescent="0.25">
      <c r="A184" s="484"/>
      <c r="B184" s="491" t="s">
        <v>24</v>
      </c>
      <c r="C184" s="512"/>
      <c r="D184" s="485">
        <f>SUM(D182:D183)</f>
        <v>0</v>
      </c>
      <c r="E184" s="485">
        <f>SUM(E182:E183)</f>
        <v>0</v>
      </c>
      <c r="F184" s="485">
        <f>SUM(F182:F183)</f>
        <v>9207500</v>
      </c>
      <c r="G184" s="485">
        <f>SUM(G183)</f>
        <v>38626797</v>
      </c>
      <c r="H184" s="485">
        <f>SUM(H183)</f>
        <v>32164200</v>
      </c>
      <c r="I184" s="485">
        <f>SUM(I182:I183)</f>
        <v>79998497</v>
      </c>
    </row>
    <row r="185" spans="1:9" s="511" customFormat="1" ht="13.5" x14ac:dyDescent="0.25">
      <c r="A185" s="461"/>
      <c r="B185" s="486"/>
      <c r="C185" s="470"/>
      <c r="D185" s="487"/>
      <c r="E185" s="487"/>
      <c r="F185" s="487"/>
      <c r="G185" s="487"/>
      <c r="H185" s="487"/>
      <c r="I185" s="487"/>
    </row>
    <row r="186" spans="1:9" ht="13.5" x14ac:dyDescent="0.25">
      <c r="A186" s="461"/>
      <c r="B186" s="486"/>
      <c r="C186" s="470"/>
      <c r="D186" s="487"/>
      <c r="E186" s="487"/>
      <c r="F186" s="487"/>
      <c r="G186" s="487"/>
      <c r="H186" s="487"/>
      <c r="I186" s="487"/>
    </row>
    <row r="187" spans="1:9" ht="15.75" x14ac:dyDescent="0.25">
      <c r="A187" s="682" t="s">
        <v>682</v>
      </c>
      <c r="B187" s="682"/>
      <c r="C187" s="682"/>
      <c r="D187" s="506">
        <f t="shared" ref="D187:I187" si="13">D101+D110+D118+D125+D131+D137+D145+D154+D160+D166+D172+D178+D184</f>
        <v>126286547</v>
      </c>
      <c r="E187" s="506">
        <f t="shared" si="13"/>
        <v>134318914</v>
      </c>
      <c r="F187" s="506">
        <f t="shared" si="13"/>
        <v>701085409</v>
      </c>
      <c r="G187" s="506">
        <f t="shared" si="13"/>
        <v>1964106376</v>
      </c>
      <c r="H187" s="506">
        <f t="shared" si="13"/>
        <v>32164200</v>
      </c>
      <c r="I187" s="506">
        <f t="shared" si="13"/>
        <v>2957961446</v>
      </c>
    </row>
    <row r="188" spans="1:9" x14ac:dyDescent="0.2">
      <c r="A188" s="461"/>
      <c r="B188" s="507"/>
      <c r="C188" s="461"/>
      <c r="D188" s="465"/>
      <c r="E188" s="465"/>
      <c r="F188" s="465"/>
      <c r="G188" s="465"/>
      <c r="H188" s="465"/>
      <c r="I188" s="465"/>
    </row>
    <row r="189" spans="1:9" x14ac:dyDescent="0.2">
      <c r="A189" s="461"/>
      <c r="B189" s="507"/>
      <c r="C189" s="461"/>
      <c r="D189" s="465"/>
      <c r="E189" s="465"/>
      <c r="F189" s="465"/>
      <c r="G189" s="465"/>
      <c r="H189" s="465"/>
      <c r="I189" s="465"/>
    </row>
    <row r="190" spans="1:9" x14ac:dyDescent="0.2">
      <c r="A190" s="461"/>
      <c r="B190" s="507"/>
      <c r="C190" s="461"/>
      <c r="D190" s="465"/>
      <c r="E190" s="465"/>
      <c r="F190" s="465"/>
      <c r="G190" s="465"/>
      <c r="H190" s="465"/>
      <c r="I190" s="465"/>
    </row>
  </sheetData>
  <mergeCells count="16">
    <mergeCell ref="C47:D47"/>
    <mergeCell ref="A4:I4"/>
    <mergeCell ref="A6:I6"/>
    <mergeCell ref="C11:D11"/>
    <mergeCell ref="C17:D17"/>
    <mergeCell ref="C23:D23"/>
    <mergeCell ref="C112:D112"/>
    <mergeCell ref="C139:D139"/>
    <mergeCell ref="C180:D180"/>
    <mergeCell ref="A187:C187"/>
    <mergeCell ref="C81:D81"/>
    <mergeCell ref="B86:C86"/>
    <mergeCell ref="A88:I88"/>
    <mergeCell ref="A89:I89"/>
    <mergeCell ref="C93:D93"/>
    <mergeCell ref="C103:D103"/>
  </mergeCells>
  <pageMargins left="0.70866141732283472" right="0.70866141732283472" top="0.35433070866141736" bottom="0.35433070866141736" header="0.31496062992125984" footer="0.31496062992125984"/>
  <pageSetup paperSize="9" scale="80" fitToHeight="0" orientation="landscape" r:id="rId1"/>
  <rowBreaks count="4" manualBreakCount="4">
    <brk id="45" max="8" man="1"/>
    <brk id="86" max="8" man="1"/>
    <brk id="126" max="8" man="1"/>
    <brk id="166"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138B7-3A1F-43F3-B353-2DFDC66FEB77}">
  <sheetPr>
    <pageSetUpPr fitToPage="1"/>
  </sheetPr>
  <dimension ref="A1:T314"/>
  <sheetViews>
    <sheetView view="pageBreakPreview" topLeftCell="D1" zoomScaleNormal="100" zoomScaleSheetLayoutView="100" workbookViewId="0">
      <selection activeCell="S2" sqref="S2"/>
    </sheetView>
  </sheetViews>
  <sheetFormatPr defaultColWidth="8.85546875" defaultRowHeight="16.5" x14ac:dyDescent="0.25"/>
  <cols>
    <col min="1" max="1" width="5.85546875" style="29" customWidth="1"/>
    <col min="2" max="2" width="7.7109375" style="19" customWidth="1"/>
    <col min="3" max="3" width="65.42578125" style="19" customWidth="1"/>
    <col min="4" max="4" width="11.140625" style="37" customWidth="1"/>
    <col min="5" max="5" width="10.140625" style="37" customWidth="1"/>
    <col min="6" max="6" width="9.85546875" style="37" customWidth="1"/>
    <col min="7" max="7" width="7.85546875" style="37" customWidth="1"/>
    <col min="8" max="9" width="10.7109375" style="37" bestFit="1" customWidth="1"/>
    <col min="10" max="10" width="9" style="37" bestFit="1" customWidth="1"/>
    <col min="11" max="11" width="7.85546875" style="37" customWidth="1"/>
    <col min="12" max="12" width="11.140625" style="37" customWidth="1"/>
    <col min="13" max="13" width="10.140625" style="37" customWidth="1"/>
    <col min="14" max="14" width="9.85546875" style="37" customWidth="1"/>
    <col min="15" max="15" width="7.85546875" style="37" customWidth="1"/>
    <col min="16" max="16" width="11.140625" style="37" customWidth="1"/>
    <col min="17" max="17" width="11.5703125" style="37" customWidth="1"/>
    <col min="18" max="18" width="9.85546875" style="37" customWidth="1"/>
    <col min="19" max="19" width="7.85546875" style="37" customWidth="1"/>
  </cols>
  <sheetData>
    <row r="1" spans="1:19" x14ac:dyDescent="0.25">
      <c r="A1" s="20"/>
      <c r="B1" s="20"/>
      <c r="C1" s="20"/>
      <c r="D1" s="34"/>
      <c r="E1" s="34"/>
      <c r="F1" s="34"/>
      <c r="G1" s="34"/>
      <c r="H1" s="34"/>
      <c r="I1" s="34"/>
      <c r="J1" s="34"/>
      <c r="K1" s="34"/>
      <c r="L1" s="34"/>
      <c r="M1" s="34"/>
      <c r="N1" s="34"/>
      <c r="O1" s="44"/>
      <c r="P1" s="34"/>
      <c r="Q1" s="34"/>
      <c r="R1" s="34"/>
      <c r="S1" s="34" t="s">
        <v>941</v>
      </c>
    </row>
    <row r="2" spans="1:19" x14ac:dyDescent="0.25">
      <c r="A2" s="20"/>
      <c r="B2" s="20"/>
      <c r="C2" s="20"/>
      <c r="D2" s="34"/>
      <c r="E2" s="34"/>
      <c r="F2" s="34"/>
      <c r="G2" s="34"/>
      <c r="H2" s="34"/>
      <c r="I2" s="34"/>
      <c r="J2" s="34"/>
      <c r="K2" s="34"/>
      <c r="L2" s="34"/>
      <c r="M2" s="34"/>
      <c r="N2" s="34"/>
      <c r="O2" s="34"/>
      <c r="P2" s="34"/>
      <c r="Q2" s="34"/>
      <c r="R2" s="34"/>
      <c r="S2" s="108" t="s">
        <v>1001</v>
      </c>
    </row>
    <row r="3" spans="1:19" x14ac:dyDescent="0.25">
      <c r="A3" s="20"/>
      <c r="B3" s="20"/>
      <c r="C3" s="20"/>
      <c r="D3" s="45"/>
      <c r="E3" s="45"/>
      <c r="F3" s="45"/>
      <c r="G3" s="45"/>
      <c r="H3" s="45"/>
      <c r="I3" s="45"/>
      <c r="J3" s="45"/>
      <c r="K3" s="45"/>
      <c r="L3" s="45"/>
      <c r="M3" s="45"/>
      <c r="N3" s="45"/>
      <c r="O3" s="45"/>
      <c r="P3" s="45"/>
      <c r="Q3" s="45"/>
      <c r="R3" s="45"/>
      <c r="S3" s="45"/>
    </row>
    <row r="4" spans="1:19" x14ac:dyDescent="0.25">
      <c r="A4" s="21"/>
      <c r="B4" s="21"/>
      <c r="C4" s="21" t="s">
        <v>942</v>
      </c>
    </row>
    <row r="5" spans="1:19" ht="17.25" thickBot="1" x14ac:dyDescent="0.3">
      <c r="A5" s="22"/>
      <c r="B5" s="22"/>
      <c r="C5" s="22" t="s">
        <v>943</v>
      </c>
    </row>
    <row r="6" spans="1:19" ht="15" customHeight="1" thickBot="1" x14ac:dyDescent="0.25">
      <c r="A6" s="23"/>
      <c r="B6" s="24"/>
      <c r="C6" s="25"/>
      <c r="D6" s="622" t="s">
        <v>199</v>
      </c>
      <c r="E6" s="623"/>
      <c r="F6" s="623"/>
      <c r="G6" s="623"/>
      <c r="H6" s="622" t="s">
        <v>990</v>
      </c>
      <c r="I6" s="623"/>
      <c r="J6" s="623"/>
      <c r="K6" s="623"/>
      <c r="L6" s="622" t="s">
        <v>959</v>
      </c>
      <c r="M6" s="623"/>
      <c r="N6" s="623"/>
      <c r="O6" s="623"/>
      <c r="P6" s="622" t="s">
        <v>991</v>
      </c>
      <c r="Q6" s="623"/>
      <c r="R6" s="623"/>
      <c r="S6" s="623"/>
    </row>
    <row r="7" spans="1:19" ht="45.75" thickBot="1" x14ac:dyDescent="0.3">
      <c r="A7" s="26"/>
      <c r="B7" s="27"/>
      <c r="C7" s="28"/>
      <c r="D7" s="39" t="s">
        <v>23</v>
      </c>
      <c r="E7" s="35" t="s">
        <v>40</v>
      </c>
      <c r="F7" s="36" t="s">
        <v>41</v>
      </c>
      <c r="G7" s="40" t="s">
        <v>184</v>
      </c>
      <c r="H7" s="39" t="s">
        <v>23</v>
      </c>
      <c r="I7" s="35" t="s">
        <v>40</v>
      </c>
      <c r="J7" s="36" t="s">
        <v>41</v>
      </c>
      <c r="K7" s="40" t="s">
        <v>184</v>
      </c>
      <c r="L7" s="39" t="s">
        <v>23</v>
      </c>
      <c r="M7" s="35" t="s">
        <v>40</v>
      </c>
      <c r="N7" s="36" t="s">
        <v>41</v>
      </c>
      <c r="O7" s="40" t="s">
        <v>184</v>
      </c>
      <c r="P7" s="39" t="s">
        <v>23</v>
      </c>
      <c r="Q7" s="35" t="s">
        <v>40</v>
      </c>
      <c r="R7" s="36" t="s">
        <v>41</v>
      </c>
      <c r="S7" s="40" t="s">
        <v>184</v>
      </c>
    </row>
    <row r="8" spans="1:19" ht="14.25" x14ac:dyDescent="0.2">
      <c r="A8" s="46" t="s">
        <v>4</v>
      </c>
      <c r="B8" s="47" t="s">
        <v>5</v>
      </c>
      <c r="C8" s="48" t="s">
        <v>6</v>
      </c>
      <c r="D8" s="49"/>
      <c r="E8" s="50"/>
      <c r="F8" s="50"/>
      <c r="G8" s="51"/>
      <c r="H8" s="49"/>
      <c r="I8" s="50"/>
      <c r="J8" s="50"/>
      <c r="K8" s="51"/>
      <c r="L8" s="49"/>
      <c r="M8" s="50"/>
      <c r="N8" s="50"/>
      <c r="O8" s="51"/>
      <c r="P8" s="614"/>
      <c r="Q8" s="615"/>
      <c r="R8" s="615"/>
      <c r="S8" s="616"/>
    </row>
    <row r="9" spans="1:19" ht="14.25" x14ac:dyDescent="0.2">
      <c r="A9" s="52"/>
      <c r="B9" s="53"/>
      <c r="C9" s="54"/>
      <c r="D9" s="55"/>
      <c r="E9" s="56"/>
      <c r="F9" s="56"/>
      <c r="G9" s="57"/>
      <c r="H9" s="55"/>
      <c r="I9" s="56"/>
      <c r="J9" s="56"/>
      <c r="K9" s="57"/>
      <c r="L9" s="55"/>
      <c r="M9" s="56"/>
      <c r="N9" s="56"/>
      <c r="O9" s="57"/>
      <c r="P9" s="55"/>
      <c r="Q9" s="56"/>
      <c r="R9" s="56"/>
      <c r="S9" s="584"/>
    </row>
    <row r="10" spans="1:19" ht="14.25" x14ac:dyDescent="0.2">
      <c r="A10" s="52">
        <v>101</v>
      </c>
      <c r="B10" s="58"/>
      <c r="C10" s="59" t="s">
        <v>817</v>
      </c>
      <c r="D10" s="55"/>
      <c r="E10" s="56"/>
      <c r="F10" s="56"/>
      <c r="G10" s="57"/>
      <c r="H10" s="55"/>
      <c r="I10" s="56"/>
      <c r="J10" s="56"/>
      <c r="K10" s="57"/>
      <c r="L10" s="55"/>
      <c r="M10" s="56"/>
      <c r="N10" s="56"/>
      <c r="O10" s="57"/>
      <c r="P10" s="55"/>
      <c r="Q10" s="56"/>
      <c r="R10" s="56"/>
      <c r="S10" s="584"/>
    </row>
    <row r="11" spans="1:19" ht="15" x14ac:dyDescent="0.25">
      <c r="A11" s="60"/>
      <c r="B11" s="61" t="s">
        <v>7</v>
      </c>
      <c r="C11" s="62" t="s">
        <v>20</v>
      </c>
      <c r="D11" s="63">
        <v>435137</v>
      </c>
      <c r="E11" s="41">
        <v>435137</v>
      </c>
      <c r="F11" s="41">
        <v>0</v>
      </c>
      <c r="G11" s="64">
        <v>0</v>
      </c>
      <c r="H11" s="63">
        <v>435137</v>
      </c>
      <c r="I11" s="41">
        <v>435137</v>
      </c>
      <c r="J11" s="41">
        <v>0</v>
      </c>
      <c r="K11" s="64">
        <v>0</v>
      </c>
      <c r="L11" s="63"/>
      <c r="M11" s="41"/>
      <c r="N11" s="41"/>
      <c r="O11" s="64"/>
      <c r="P11" s="63">
        <f>H11+L11</f>
        <v>435137</v>
      </c>
      <c r="Q11" s="41">
        <f t="shared" ref="Q11:S24" si="0">I11+M11</f>
        <v>435137</v>
      </c>
      <c r="R11" s="41">
        <f t="shared" si="0"/>
        <v>0</v>
      </c>
      <c r="S11" s="66">
        <f t="shared" si="0"/>
        <v>0</v>
      </c>
    </row>
    <row r="12" spans="1:19" ht="15" x14ac:dyDescent="0.25">
      <c r="A12" s="60"/>
      <c r="B12" s="61" t="s">
        <v>11</v>
      </c>
      <c r="C12" s="62" t="s">
        <v>51</v>
      </c>
      <c r="D12" s="63">
        <v>17918</v>
      </c>
      <c r="E12" s="41">
        <v>17918</v>
      </c>
      <c r="F12" s="41">
        <v>0</v>
      </c>
      <c r="G12" s="64">
        <v>0</v>
      </c>
      <c r="H12" s="63">
        <v>17918</v>
      </c>
      <c r="I12" s="41">
        <v>17918</v>
      </c>
      <c r="J12" s="41">
        <v>0</v>
      </c>
      <c r="K12" s="64">
        <v>0</v>
      </c>
      <c r="L12" s="63"/>
      <c r="M12" s="41"/>
      <c r="N12" s="41"/>
      <c r="O12" s="64"/>
      <c r="P12" s="63">
        <f t="shared" ref="P12:S74" si="1">H12+L12</f>
        <v>17918</v>
      </c>
      <c r="Q12" s="41">
        <f t="shared" si="0"/>
        <v>17918</v>
      </c>
      <c r="R12" s="41">
        <f t="shared" si="0"/>
        <v>0</v>
      </c>
      <c r="S12" s="66">
        <f t="shared" si="0"/>
        <v>0</v>
      </c>
    </row>
    <row r="13" spans="1:19" ht="15" x14ac:dyDescent="0.25">
      <c r="A13" s="60"/>
      <c r="B13" s="61" t="s">
        <v>12</v>
      </c>
      <c r="C13" s="62" t="s">
        <v>25</v>
      </c>
      <c r="D13" s="63">
        <v>98584</v>
      </c>
      <c r="E13" s="41">
        <v>98584</v>
      </c>
      <c r="F13" s="41">
        <v>0</v>
      </c>
      <c r="G13" s="64">
        <v>0</v>
      </c>
      <c r="H13" s="63">
        <v>98584</v>
      </c>
      <c r="I13" s="41">
        <v>98584</v>
      </c>
      <c r="J13" s="41">
        <v>0</v>
      </c>
      <c r="K13" s="64">
        <v>0</v>
      </c>
      <c r="L13" s="63">
        <v>-4745</v>
      </c>
      <c r="M13" s="41">
        <v>-4745</v>
      </c>
      <c r="N13" s="41">
        <v>0</v>
      </c>
      <c r="O13" s="64">
        <v>0</v>
      </c>
      <c r="P13" s="63">
        <f t="shared" si="1"/>
        <v>93839</v>
      </c>
      <c r="Q13" s="41">
        <f t="shared" si="0"/>
        <v>93839</v>
      </c>
      <c r="R13" s="41">
        <f t="shared" si="0"/>
        <v>0</v>
      </c>
      <c r="S13" s="66">
        <f t="shared" si="0"/>
        <v>0</v>
      </c>
    </row>
    <row r="14" spans="1:19" ht="15" x14ac:dyDescent="0.25">
      <c r="A14" s="73"/>
      <c r="B14" s="67" t="s">
        <v>17</v>
      </c>
      <c r="C14" s="62" t="s">
        <v>46</v>
      </c>
      <c r="D14" s="63"/>
      <c r="E14" s="41"/>
      <c r="F14" s="41"/>
      <c r="G14" s="64"/>
      <c r="H14" s="63">
        <v>0</v>
      </c>
      <c r="I14" s="41">
        <v>0</v>
      </c>
      <c r="J14" s="41">
        <v>0</v>
      </c>
      <c r="K14" s="64">
        <v>0</v>
      </c>
      <c r="L14" s="63"/>
      <c r="M14" s="41"/>
      <c r="N14" s="41"/>
      <c r="O14" s="64"/>
      <c r="P14" s="63">
        <f t="shared" si="1"/>
        <v>0</v>
      </c>
      <c r="Q14" s="41">
        <f t="shared" si="0"/>
        <v>0</v>
      </c>
      <c r="R14" s="41">
        <f t="shared" si="0"/>
        <v>0</v>
      </c>
      <c r="S14" s="66">
        <f t="shared" si="0"/>
        <v>0</v>
      </c>
    </row>
    <row r="15" spans="1:19" ht="15" x14ac:dyDescent="0.25">
      <c r="A15" s="73"/>
      <c r="B15" s="67"/>
      <c r="C15" s="62" t="s">
        <v>126</v>
      </c>
      <c r="D15" s="63">
        <v>1779</v>
      </c>
      <c r="E15" s="41">
        <v>1779</v>
      </c>
      <c r="F15" s="41">
        <v>0</v>
      </c>
      <c r="G15" s="64">
        <v>0</v>
      </c>
      <c r="H15" s="63">
        <v>1779</v>
      </c>
      <c r="I15" s="41">
        <v>1779</v>
      </c>
      <c r="J15" s="41">
        <v>0</v>
      </c>
      <c r="K15" s="64">
        <v>0</v>
      </c>
      <c r="L15" s="63"/>
      <c r="M15" s="41"/>
      <c r="N15" s="41"/>
      <c r="O15" s="64"/>
      <c r="P15" s="63">
        <f t="shared" si="1"/>
        <v>1779</v>
      </c>
      <c r="Q15" s="41">
        <f t="shared" si="0"/>
        <v>1779</v>
      </c>
      <c r="R15" s="41">
        <f t="shared" si="0"/>
        <v>0</v>
      </c>
      <c r="S15" s="66">
        <f t="shared" si="0"/>
        <v>0</v>
      </c>
    </row>
    <row r="16" spans="1:19" ht="15" x14ac:dyDescent="0.25">
      <c r="A16" s="73"/>
      <c r="B16" s="67"/>
      <c r="C16" s="62" t="s">
        <v>289</v>
      </c>
      <c r="D16" s="63">
        <v>1500</v>
      </c>
      <c r="E16" s="41">
        <v>1500</v>
      </c>
      <c r="F16" s="41">
        <v>0</v>
      </c>
      <c r="G16" s="64">
        <v>0</v>
      </c>
      <c r="H16" s="63">
        <v>1500</v>
      </c>
      <c r="I16" s="41">
        <v>1500</v>
      </c>
      <c r="J16" s="41">
        <v>0</v>
      </c>
      <c r="K16" s="64">
        <v>0</v>
      </c>
      <c r="L16" s="63"/>
      <c r="M16" s="41"/>
      <c r="N16" s="41"/>
      <c r="O16" s="64"/>
      <c r="P16" s="63">
        <f t="shared" si="1"/>
        <v>1500</v>
      </c>
      <c r="Q16" s="41">
        <f t="shared" si="0"/>
        <v>1500</v>
      </c>
      <c r="R16" s="41">
        <f t="shared" si="0"/>
        <v>0</v>
      </c>
      <c r="S16" s="66">
        <f t="shared" si="0"/>
        <v>0</v>
      </c>
    </row>
    <row r="17" spans="1:19" ht="15" x14ac:dyDescent="0.25">
      <c r="A17" s="73"/>
      <c r="B17" s="67"/>
      <c r="C17" s="62" t="s">
        <v>1002</v>
      </c>
      <c r="D17" s="63"/>
      <c r="E17" s="41"/>
      <c r="F17" s="41"/>
      <c r="G17" s="64"/>
      <c r="H17" s="63"/>
      <c r="I17" s="41"/>
      <c r="J17" s="41"/>
      <c r="K17" s="64"/>
      <c r="L17" s="63">
        <v>4745</v>
      </c>
      <c r="M17" s="41">
        <v>4745</v>
      </c>
      <c r="N17" s="41">
        <v>0</v>
      </c>
      <c r="O17" s="64">
        <v>0</v>
      </c>
      <c r="P17" s="63">
        <f t="shared" si="1"/>
        <v>4745</v>
      </c>
      <c r="Q17" s="41">
        <f t="shared" si="0"/>
        <v>4745</v>
      </c>
      <c r="R17" s="41">
        <f t="shared" si="0"/>
        <v>0</v>
      </c>
      <c r="S17" s="66">
        <f t="shared" si="0"/>
        <v>0</v>
      </c>
    </row>
    <row r="18" spans="1:19" ht="15" x14ac:dyDescent="0.25">
      <c r="A18" s="74"/>
      <c r="B18" s="75"/>
      <c r="C18" s="69" t="s">
        <v>48</v>
      </c>
      <c r="D18" s="70">
        <f t="shared" ref="D18" si="2">SUM(D15:D16)</f>
        <v>3279</v>
      </c>
      <c r="E18" s="71">
        <f t="shared" ref="E18:G18" si="3">SUM(E15:E16)</f>
        <v>3279</v>
      </c>
      <c r="F18" s="71">
        <f t="shared" si="3"/>
        <v>0</v>
      </c>
      <c r="G18" s="72">
        <f t="shared" si="3"/>
        <v>0</v>
      </c>
      <c r="H18" s="70">
        <v>3279</v>
      </c>
      <c r="I18" s="71">
        <v>3279</v>
      </c>
      <c r="J18" s="71">
        <v>0</v>
      </c>
      <c r="K18" s="72">
        <v>0</v>
      </c>
      <c r="L18" s="70">
        <f>SUM(L15:L17)</f>
        <v>4745</v>
      </c>
      <c r="M18" s="71">
        <f t="shared" ref="M18:O18" si="4">SUM(M15:M17)</f>
        <v>4745</v>
      </c>
      <c r="N18" s="71">
        <f t="shared" si="4"/>
        <v>0</v>
      </c>
      <c r="O18" s="72">
        <f t="shared" si="4"/>
        <v>0</v>
      </c>
      <c r="P18" s="70">
        <f t="shared" si="1"/>
        <v>8024</v>
      </c>
      <c r="Q18" s="71">
        <f t="shared" si="0"/>
        <v>8024</v>
      </c>
      <c r="R18" s="71">
        <f t="shared" si="0"/>
        <v>0</v>
      </c>
      <c r="S18" s="578">
        <f t="shared" si="0"/>
        <v>0</v>
      </c>
    </row>
    <row r="19" spans="1:19" ht="15" x14ac:dyDescent="0.25">
      <c r="A19" s="73"/>
      <c r="B19" s="67"/>
      <c r="C19" s="54" t="s">
        <v>9</v>
      </c>
      <c r="D19" s="76">
        <f t="shared" ref="D19:O19" si="5">D11+D12+D13+D18</f>
        <v>554918</v>
      </c>
      <c r="E19" s="77">
        <f t="shared" si="5"/>
        <v>554918</v>
      </c>
      <c r="F19" s="77">
        <f t="shared" si="5"/>
        <v>0</v>
      </c>
      <c r="G19" s="78">
        <f t="shared" si="5"/>
        <v>0</v>
      </c>
      <c r="H19" s="76">
        <v>554918</v>
      </c>
      <c r="I19" s="77">
        <v>554918</v>
      </c>
      <c r="J19" s="77">
        <v>0</v>
      </c>
      <c r="K19" s="78">
        <v>0</v>
      </c>
      <c r="L19" s="76">
        <f t="shared" si="5"/>
        <v>0</v>
      </c>
      <c r="M19" s="77">
        <f t="shared" si="5"/>
        <v>0</v>
      </c>
      <c r="N19" s="77">
        <f t="shared" si="5"/>
        <v>0</v>
      </c>
      <c r="O19" s="78">
        <f t="shared" si="5"/>
        <v>0</v>
      </c>
      <c r="P19" s="76">
        <f t="shared" si="1"/>
        <v>554918</v>
      </c>
      <c r="Q19" s="77">
        <f t="shared" si="0"/>
        <v>554918</v>
      </c>
      <c r="R19" s="77">
        <f t="shared" si="0"/>
        <v>0</v>
      </c>
      <c r="S19" s="617">
        <f t="shared" si="0"/>
        <v>0</v>
      </c>
    </row>
    <row r="20" spans="1:19" ht="15" x14ac:dyDescent="0.25">
      <c r="A20" s="73"/>
      <c r="B20" s="67"/>
      <c r="C20" s="62"/>
      <c r="D20" s="63"/>
      <c r="E20" s="41"/>
      <c r="F20" s="41"/>
      <c r="G20" s="64"/>
      <c r="H20" s="63"/>
      <c r="I20" s="41"/>
      <c r="J20" s="41"/>
      <c r="K20" s="64"/>
      <c r="L20" s="63"/>
      <c r="M20" s="41"/>
      <c r="N20" s="41"/>
      <c r="O20" s="64"/>
      <c r="P20" s="63"/>
      <c r="Q20" s="41"/>
      <c r="R20" s="41"/>
      <c r="S20" s="66"/>
    </row>
    <row r="21" spans="1:19" ht="15" x14ac:dyDescent="0.25">
      <c r="A21" s="52">
        <v>102</v>
      </c>
      <c r="B21" s="67"/>
      <c r="C21" s="54" t="s">
        <v>155</v>
      </c>
      <c r="D21" s="55"/>
      <c r="E21" s="56"/>
      <c r="F21" s="56"/>
      <c r="G21" s="57"/>
      <c r="H21" s="63"/>
      <c r="I21" s="41"/>
      <c r="J21" s="41"/>
      <c r="K21" s="64"/>
      <c r="L21" s="55"/>
      <c r="M21" s="56"/>
      <c r="N21" s="56"/>
      <c r="O21" s="57"/>
      <c r="P21" s="63"/>
      <c r="Q21" s="41"/>
      <c r="R21" s="41"/>
      <c r="S21" s="66"/>
    </row>
    <row r="22" spans="1:19" ht="15" x14ac:dyDescent="0.25">
      <c r="A22" s="60"/>
      <c r="B22" s="61" t="s">
        <v>7</v>
      </c>
      <c r="C22" s="62" t="s">
        <v>20</v>
      </c>
      <c r="D22" s="63">
        <v>81546</v>
      </c>
      <c r="E22" s="41">
        <v>81546</v>
      </c>
      <c r="F22" s="41">
        <v>0</v>
      </c>
      <c r="G22" s="64">
        <v>0</v>
      </c>
      <c r="H22" s="63">
        <v>81546</v>
      </c>
      <c r="I22" s="41">
        <v>81546</v>
      </c>
      <c r="J22" s="41">
        <v>0</v>
      </c>
      <c r="K22" s="64">
        <v>0</v>
      </c>
      <c r="L22" s="63"/>
      <c r="M22" s="41"/>
      <c r="N22" s="41"/>
      <c r="O22" s="64"/>
      <c r="P22" s="63">
        <f t="shared" si="1"/>
        <v>81546</v>
      </c>
      <c r="Q22" s="41">
        <f t="shared" si="0"/>
        <v>81546</v>
      </c>
      <c r="R22" s="41">
        <f t="shared" si="0"/>
        <v>0</v>
      </c>
      <c r="S22" s="66">
        <f t="shared" si="0"/>
        <v>0</v>
      </c>
    </row>
    <row r="23" spans="1:19" ht="15" x14ac:dyDescent="0.25">
      <c r="A23" s="60"/>
      <c r="B23" s="61" t="s">
        <v>11</v>
      </c>
      <c r="C23" s="62" t="s">
        <v>51</v>
      </c>
      <c r="D23" s="63">
        <v>10547</v>
      </c>
      <c r="E23" s="41">
        <v>10547</v>
      </c>
      <c r="F23" s="41">
        <v>0</v>
      </c>
      <c r="G23" s="64">
        <v>0</v>
      </c>
      <c r="H23" s="63">
        <v>10547</v>
      </c>
      <c r="I23" s="41">
        <v>10547</v>
      </c>
      <c r="J23" s="41">
        <v>0</v>
      </c>
      <c r="K23" s="64">
        <v>0</v>
      </c>
      <c r="L23" s="63"/>
      <c r="M23" s="41"/>
      <c r="N23" s="41"/>
      <c r="O23" s="64"/>
      <c r="P23" s="63">
        <f t="shared" si="1"/>
        <v>10547</v>
      </c>
      <c r="Q23" s="41">
        <f t="shared" si="0"/>
        <v>10547</v>
      </c>
      <c r="R23" s="41">
        <f t="shared" si="0"/>
        <v>0</v>
      </c>
      <c r="S23" s="66">
        <f t="shared" si="0"/>
        <v>0</v>
      </c>
    </row>
    <row r="24" spans="1:19" ht="15" x14ac:dyDescent="0.25">
      <c r="A24" s="73"/>
      <c r="B24" s="67" t="s">
        <v>12</v>
      </c>
      <c r="C24" s="62" t="s">
        <v>25</v>
      </c>
      <c r="D24" s="63">
        <v>63557</v>
      </c>
      <c r="E24" s="41">
        <v>63557</v>
      </c>
      <c r="F24" s="41">
        <v>0</v>
      </c>
      <c r="G24" s="64">
        <v>0</v>
      </c>
      <c r="H24" s="63">
        <v>65892</v>
      </c>
      <c r="I24" s="41">
        <v>65892</v>
      </c>
      <c r="J24" s="41">
        <v>0</v>
      </c>
      <c r="K24" s="64">
        <v>0</v>
      </c>
      <c r="L24" s="63"/>
      <c r="M24" s="41"/>
      <c r="N24" s="41"/>
      <c r="O24" s="64"/>
      <c r="P24" s="63">
        <f t="shared" si="1"/>
        <v>65892</v>
      </c>
      <c r="Q24" s="41">
        <f t="shared" si="0"/>
        <v>65892</v>
      </c>
      <c r="R24" s="41">
        <f t="shared" si="0"/>
        <v>0</v>
      </c>
      <c r="S24" s="66">
        <f t="shared" si="0"/>
        <v>0</v>
      </c>
    </row>
    <row r="25" spans="1:19" ht="15" x14ac:dyDescent="0.25">
      <c r="A25" s="73"/>
      <c r="B25" s="67" t="s">
        <v>14</v>
      </c>
      <c r="C25" s="62" t="s">
        <v>45</v>
      </c>
      <c r="D25" s="63"/>
      <c r="E25" s="41"/>
      <c r="F25" s="41"/>
      <c r="G25" s="64"/>
      <c r="H25" s="63"/>
      <c r="I25" s="41"/>
      <c r="J25" s="41"/>
      <c r="K25" s="64"/>
      <c r="L25" s="63"/>
      <c r="M25" s="41"/>
      <c r="N25" s="41"/>
      <c r="O25" s="64"/>
      <c r="P25" s="63"/>
      <c r="Q25" s="41"/>
      <c r="R25" s="41"/>
      <c r="S25" s="66"/>
    </row>
    <row r="26" spans="1:19" ht="15" x14ac:dyDescent="0.25">
      <c r="A26" s="73"/>
      <c r="B26" s="67"/>
      <c r="C26" s="62" t="s">
        <v>49</v>
      </c>
      <c r="D26" s="63"/>
      <c r="E26" s="41"/>
      <c r="F26" s="41"/>
      <c r="G26" s="64"/>
      <c r="H26" s="63"/>
      <c r="I26" s="41"/>
      <c r="J26" s="41"/>
      <c r="K26" s="64"/>
      <c r="L26" s="63"/>
      <c r="M26" s="41"/>
      <c r="N26" s="41"/>
      <c r="O26" s="64"/>
      <c r="P26" s="63"/>
      <c r="Q26" s="41"/>
      <c r="R26" s="41"/>
      <c r="S26" s="66"/>
    </row>
    <row r="27" spans="1:19" ht="15" x14ac:dyDescent="0.25">
      <c r="A27" s="73"/>
      <c r="B27" s="67"/>
      <c r="C27" s="62" t="s">
        <v>970</v>
      </c>
      <c r="D27" s="63"/>
      <c r="E27" s="41"/>
      <c r="F27" s="41"/>
      <c r="G27" s="64"/>
      <c r="H27" s="63">
        <v>861</v>
      </c>
      <c r="I27" s="41">
        <v>861</v>
      </c>
      <c r="J27" s="41">
        <v>0</v>
      </c>
      <c r="K27" s="64">
        <v>0</v>
      </c>
      <c r="L27" s="63"/>
      <c r="M27" s="41"/>
      <c r="N27" s="41"/>
      <c r="O27" s="64"/>
      <c r="P27" s="63">
        <f t="shared" si="1"/>
        <v>861</v>
      </c>
      <c r="Q27" s="41">
        <f t="shared" si="1"/>
        <v>861</v>
      </c>
      <c r="R27" s="41">
        <f t="shared" si="1"/>
        <v>0</v>
      </c>
      <c r="S27" s="66">
        <f t="shared" si="1"/>
        <v>0</v>
      </c>
    </row>
    <row r="28" spans="1:19" ht="15" x14ac:dyDescent="0.25">
      <c r="A28" s="73"/>
      <c r="B28" s="75"/>
      <c r="C28" s="69" t="s">
        <v>971</v>
      </c>
      <c r="D28" s="70"/>
      <c r="E28" s="71"/>
      <c r="F28" s="71"/>
      <c r="G28" s="72"/>
      <c r="H28" s="70">
        <v>861</v>
      </c>
      <c r="I28" s="71">
        <v>861</v>
      </c>
      <c r="J28" s="71">
        <v>0</v>
      </c>
      <c r="K28" s="72">
        <v>0</v>
      </c>
      <c r="L28" s="70">
        <f>SUM(L27)</f>
        <v>0</v>
      </c>
      <c r="M28" s="71">
        <f t="shared" ref="M28:O28" si="6">SUM(M27)</f>
        <v>0</v>
      </c>
      <c r="N28" s="71">
        <f t="shared" si="6"/>
        <v>0</v>
      </c>
      <c r="O28" s="72">
        <f t="shared" si="6"/>
        <v>0</v>
      </c>
      <c r="P28" s="70">
        <f t="shared" si="1"/>
        <v>861</v>
      </c>
      <c r="Q28" s="71">
        <f t="shared" si="1"/>
        <v>861</v>
      </c>
      <c r="R28" s="71">
        <f t="shared" si="1"/>
        <v>0</v>
      </c>
      <c r="S28" s="578">
        <f t="shared" si="1"/>
        <v>0</v>
      </c>
    </row>
    <row r="29" spans="1:19" ht="15" x14ac:dyDescent="0.25">
      <c r="A29" s="73"/>
      <c r="B29" s="67" t="s">
        <v>17</v>
      </c>
      <c r="C29" s="62" t="s">
        <v>46</v>
      </c>
      <c r="D29" s="63"/>
      <c r="E29" s="41"/>
      <c r="F29" s="41"/>
      <c r="G29" s="64"/>
      <c r="H29" s="63"/>
      <c r="I29" s="41"/>
      <c r="J29" s="41"/>
      <c r="K29" s="64"/>
      <c r="L29" s="63"/>
      <c r="M29" s="41"/>
      <c r="N29" s="41"/>
      <c r="O29" s="64"/>
      <c r="P29" s="63"/>
      <c r="Q29" s="41"/>
      <c r="R29" s="41"/>
      <c r="S29" s="66"/>
    </row>
    <row r="30" spans="1:19" ht="15" x14ac:dyDescent="0.25">
      <c r="A30" s="73"/>
      <c r="B30" s="67"/>
      <c r="C30" s="62" t="s">
        <v>280</v>
      </c>
      <c r="D30" s="63">
        <v>4965</v>
      </c>
      <c r="E30" s="41">
        <v>4965</v>
      </c>
      <c r="F30" s="41">
        <v>0</v>
      </c>
      <c r="G30" s="64">
        <v>0</v>
      </c>
      <c r="H30" s="63">
        <v>4965</v>
      </c>
      <c r="I30" s="41">
        <v>4965</v>
      </c>
      <c r="J30" s="41">
        <v>0</v>
      </c>
      <c r="K30" s="64">
        <v>0</v>
      </c>
      <c r="L30" s="63">
        <v>482</v>
      </c>
      <c r="M30" s="41">
        <v>482</v>
      </c>
      <c r="N30" s="41">
        <v>0</v>
      </c>
      <c r="O30" s="64">
        <v>0</v>
      </c>
      <c r="P30" s="63">
        <f t="shared" si="1"/>
        <v>5447</v>
      </c>
      <c r="Q30" s="41">
        <f t="shared" si="1"/>
        <v>5447</v>
      </c>
      <c r="R30" s="41">
        <f t="shared" si="1"/>
        <v>0</v>
      </c>
      <c r="S30" s="66">
        <f t="shared" si="1"/>
        <v>0</v>
      </c>
    </row>
    <row r="31" spans="1:19" ht="15" x14ac:dyDescent="0.25">
      <c r="A31" s="74"/>
      <c r="B31" s="75"/>
      <c r="C31" s="69" t="s">
        <v>48</v>
      </c>
      <c r="D31" s="70">
        <f t="shared" ref="D31:G31" si="7">SUM(D30)</f>
        <v>4965</v>
      </c>
      <c r="E31" s="71">
        <f t="shared" si="7"/>
        <v>4965</v>
      </c>
      <c r="F31" s="71">
        <f t="shared" si="7"/>
        <v>0</v>
      </c>
      <c r="G31" s="72">
        <f t="shared" si="7"/>
        <v>0</v>
      </c>
      <c r="H31" s="70">
        <v>4965</v>
      </c>
      <c r="I31" s="71">
        <v>4965</v>
      </c>
      <c r="J31" s="71">
        <v>0</v>
      </c>
      <c r="K31" s="72">
        <v>0</v>
      </c>
      <c r="L31" s="70">
        <f t="shared" ref="L31:O31" si="8">SUM(L30)</f>
        <v>482</v>
      </c>
      <c r="M31" s="71">
        <f t="shared" si="8"/>
        <v>482</v>
      </c>
      <c r="N31" s="71">
        <f t="shared" si="8"/>
        <v>0</v>
      </c>
      <c r="O31" s="72">
        <f t="shared" si="8"/>
        <v>0</v>
      </c>
      <c r="P31" s="70">
        <f t="shared" si="1"/>
        <v>5447</v>
      </c>
      <c r="Q31" s="71">
        <f t="shared" si="1"/>
        <v>5447</v>
      </c>
      <c r="R31" s="71">
        <f t="shared" si="1"/>
        <v>0</v>
      </c>
      <c r="S31" s="578">
        <f t="shared" si="1"/>
        <v>0</v>
      </c>
    </row>
    <row r="32" spans="1:19" ht="15" x14ac:dyDescent="0.25">
      <c r="A32" s="74"/>
      <c r="B32" s="67" t="s">
        <v>19</v>
      </c>
      <c r="C32" s="62" t="s">
        <v>18</v>
      </c>
      <c r="D32" s="70"/>
      <c r="E32" s="71"/>
      <c r="F32" s="71"/>
      <c r="G32" s="72"/>
      <c r="H32" s="63"/>
      <c r="I32" s="41"/>
      <c r="J32" s="41"/>
      <c r="K32" s="64"/>
      <c r="L32" s="70"/>
      <c r="M32" s="71"/>
      <c r="N32" s="71"/>
      <c r="O32" s="72"/>
      <c r="P32" s="63"/>
      <c r="Q32" s="41"/>
      <c r="R32" s="41"/>
      <c r="S32" s="66"/>
    </row>
    <row r="33" spans="1:19" ht="15" x14ac:dyDescent="0.25">
      <c r="A33" s="74"/>
      <c r="B33" s="67"/>
      <c r="C33" s="62" t="s">
        <v>290</v>
      </c>
      <c r="D33" s="63">
        <v>5864</v>
      </c>
      <c r="E33" s="41">
        <v>5864</v>
      </c>
      <c r="F33" s="41">
        <v>0</v>
      </c>
      <c r="G33" s="64">
        <v>0</v>
      </c>
      <c r="H33" s="63">
        <v>5864</v>
      </c>
      <c r="I33" s="41">
        <v>5864</v>
      </c>
      <c r="J33" s="41">
        <v>0</v>
      </c>
      <c r="K33" s="64">
        <v>0</v>
      </c>
      <c r="L33" s="63"/>
      <c r="M33" s="41"/>
      <c r="N33" s="41"/>
      <c r="O33" s="64"/>
      <c r="P33" s="63">
        <f t="shared" si="1"/>
        <v>5864</v>
      </c>
      <c r="Q33" s="41">
        <f t="shared" si="1"/>
        <v>5864</v>
      </c>
      <c r="R33" s="41">
        <f t="shared" si="1"/>
        <v>0</v>
      </c>
      <c r="S33" s="66">
        <f t="shared" si="1"/>
        <v>0</v>
      </c>
    </row>
    <row r="34" spans="1:19" ht="15" x14ac:dyDescent="0.25">
      <c r="A34" s="74"/>
      <c r="B34" s="67"/>
      <c r="C34" s="69" t="s">
        <v>121</v>
      </c>
      <c r="D34" s="70">
        <v>5864</v>
      </c>
      <c r="E34" s="71">
        <v>5864</v>
      </c>
      <c r="F34" s="71">
        <f t="shared" ref="F34:G34" si="9">SUM(F33:F33)</f>
        <v>0</v>
      </c>
      <c r="G34" s="72">
        <f t="shared" si="9"/>
        <v>0</v>
      </c>
      <c r="H34" s="70">
        <v>5864</v>
      </c>
      <c r="I34" s="71">
        <v>5864</v>
      </c>
      <c r="J34" s="71">
        <v>0</v>
      </c>
      <c r="K34" s="72">
        <v>0</v>
      </c>
      <c r="L34" s="70">
        <f>SUM(L33)</f>
        <v>0</v>
      </c>
      <c r="M34" s="71">
        <f t="shared" ref="M34:O34" si="10">SUM(M33)</f>
        <v>0</v>
      </c>
      <c r="N34" s="71">
        <f t="shared" si="10"/>
        <v>0</v>
      </c>
      <c r="O34" s="72">
        <f t="shared" si="10"/>
        <v>0</v>
      </c>
      <c r="P34" s="70">
        <f t="shared" si="1"/>
        <v>5864</v>
      </c>
      <c r="Q34" s="71">
        <f t="shared" si="1"/>
        <v>5864</v>
      </c>
      <c r="R34" s="71">
        <f t="shared" si="1"/>
        <v>0</v>
      </c>
      <c r="S34" s="578">
        <f t="shared" si="1"/>
        <v>0</v>
      </c>
    </row>
    <row r="35" spans="1:19" ht="15" x14ac:dyDescent="0.25">
      <c r="A35" s="73"/>
      <c r="B35" s="67"/>
      <c r="C35" s="54" t="s">
        <v>248</v>
      </c>
      <c r="D35" s="76">
        <f t="shared" ref="D35:G35" si="11">SUM(D22:D24)+D31+D34</f>
        <v>166479</v>
      </c>
      <c r="E35" s="77">
        <f t="shared" si="11"/>
        <v>166479</v>
      </c>
      <c r="F35" s="77">
        <f t="shared" si="11"/>
        <v>0</v>
      </c>
      <c r="G35" s="78">
        <f t="shared" si="11"/>
        <v>0</v>
      </c>
      <c r="H35" s="76">
        <v>169675</v>
      </c>
      <c r="I35" s="77">
        <v>169675</v>
      </c>
      <c r="J35" s="77">
        <v>0</v>
      </c>
      <c r="K35" s="78">
        <v>0</v>
      </c>
      <c r="L35" s="76">
        <f>SUM(L22:L24)+L31+L34+L28</f>
        <v>482</v>
      </c>
      <c r="M35" s="77">
        <f t="shared" ref="M35:O35" si="12">SUM(M22:M24)+M31+M34+M28</f>
        <v>482</v>
      </c>
      <c r="N35" s="77">
        <f t="shared" si="12"/>
        <v>0</v>
      </c>
      <c r="O35" s="78">
        <f t="shared" si="12"/>
        <v>0</v>
      </c>
      <c r="P35" s="76">
        <f t="shared" si="1"/>
        <v>170157</v>
      </c>
      <c r="Q35" s="77">
        <f t="shared" si="1"/>
        <v>170157</v>
      </c>
      <c r="R35" s="77">
        <f t="shared" si="1"/>
        <v>0</v>
      </c>
      <c r="S35" s="617">
        <f t="shared" si="1"/>
        <v>0</v>
      </c>
    </row>
    <row r="36" spans="1:19" ht="15" x14ac:dyDescent="0.25">
      <c r="A36" s="73"/>
      <c r="B36" s="67"/>
      <c r="C36" s="54"/>
      <c r="D36" s="55"/>
      <c r="E36" s="56"/>
      <c r="F36" s="56"/>
      <c r="G36" s="57"/>
      <c r="H36" s="63"/>
      <c r="I36" s="41"/>
      <c r="J36" s="41"/>
      <c r="K36" s="64"/>
      <c r="L36" s="55"/>
      <c r="M36" s="56"/>
      <c r="N36" s="56"/>
      <c r="O36" s="57"/>
      <c r="P36" s="63"/>
      <c r="Q36" s="41"/>
      <c r="R36" s="41"/>
      <c r="S36" s="66"/>
    </row>
    <row r="37" spans="1:19" ht="15" x14ac:dyDescent="0.25">
      <c r="A37" s="52">
        <v>103</v>
      </c>
      <c r="B37" s="67"/>
      <c r="C37" s="54" t="s">
        <v>43</v>
      </c>
      <c r="D37" s="55"/>
      <c r="E37" s="56"/>
      <c r="F37" s="56"/>
      <c r="G37" s="57"/>
      <c r="H37" s="63"/>
      <c r="I37" s="41"/>
      <c r="J37" s="41"/>
      <c r="K37" s="64"/>
      <c r="L37" s="55"/>
      <c r="M37" s="56"/>
      <c r="N37" s="56"/>
      <c r="O37" s="57"/>
      <c r="P37" s="63"/>
      <c r="Q37" s="41"/>
      <c r="R37" s="41"/>
      <c r="S37" s="66"/>
    </row>
    <row r="38" spans="1:19" ht="15" x14ac:dyDescent="0.25">
      <c r="A38" s="60"/>
      <c r="B38" s="61" t="s">
        <v>7</v>
      </c>
      <c r="C38" s="62" t="s">
        <v>20</v>
      </c>
      <c r="D38" s="63">
        <v>326584</v>
      </c>
      <c r="E38" s="41">
        <v>326584</v>
      </c>
      <c r="F38" s="41">
        <v>0</v>
      </c>
      <c r="G38" s="64">
        <v>0</v>
      </c>
      <c r="H38" s="63">
        <v>438766</v>
      </c>
      <c r="I38" s="41">
        <v>438766</v>
      </c>
      <c r="J38" s="41">
        <v>0</v>
      </c>
      <c r="K38" s="64">
        <v>0</v>
      </c>
      <c r="L38" s="63"/>
      <c r="M38" s="41"/>
      <c r="N38" s="41"/>
      <c r="O38" s="64"/>
      <c r="P38" s="63">
        <f t="shared" si="1"/>
        <v>438766</v>
      </c>
      <c r="Q38" s="41">
        <f t="shared" si="1"/>
        <v>438766</v>
      </c>
      <c r="R38" s="41">
        <f t="shared" si="1"/>
        <v>0</v>
      </c>
      <c r="S38" s="66">
        <f t="shared" si="1"/>
        <v>0</v>
      </c>
    </row>
    <row r="39" spans="1:19" ht="15" x14ac:dyDescent="0.25">
      <c r="A39" s="60"/>
      <c r="B39" s="61" t="s">
        <v>11</v>
      </c>
      <c r="C39" s="62" t="s">
        <v>51</v>
      </c>
      <c r="D39" s="63">
        <v>46796</v>
      </c>
      <c r="E39" s="41">
        <v>46796</v>
      </c>
      <c r="F39" s="41">
        <v>0</v>
      </c>
      <c r="G39" s="64">
        <v>0</v>
      </c>
      <c r="H39" s="63">
        <v>62459</v>
      </c>
      <c r="I39" s="41">
        <v>62459</v>
      </c>
      <c r="J39" s="41">
        <v>0</v>
      </c>
      <c r="K39" s="64">
        <v>0</v>
      </c>
      <c r="L39" s="63"/>
      <c r="M39" s="41"/>
      <c r="N39" s="41"/>
      <c r="O39" s="64"/>
      <c r="P39" s="63">
        <f t="shared" si="1"/>
        <v>62459</v>
      </c>
      <c r="Q39" s="41">
        <f t="shared" si="1"/>
        <v>62459</v>
      </c>
      <c r="R39" s="41">
        <f t="shared" si="1"/>
        <v>0</v>
      </c>
      <c r="S39" s="66">
        <f t="shared" si="1"/>
        <v>0</v>
      </c>
    </row>
    <row r="40" spans="1:19" ht="15" x14ac:dyDescent="0.25">
      <c r="A40" s="73"/>
      <c r="B40" s="67" t="s">
        <v>12</v>
      </c>
      <c r="C40" s="62" t="s">
        <v>25</v>
      </c>
      <c r="D40" s="63">
        <v>76000</v>
      </c>
      <c r="E40" s="41">
        <v>76000</v>
      </c>
      <c r="F40" s="41">
        <v>0</v>
      </c>
      <c r="G40" s="64">
        <v>0</v>
      </c>
      <c r="H40" s="63">
        <v>76012</v>
      </c>
      <c r="I40" s="41">
        <v>76012</v>
      </c>
      <c r="J40" s="41">
        <v>0</v>
      </c>
      <c r="K40" s="64">
        <v>0</v>
      </c>
      <c r="L40" s="63"/>
      <c r="M40" s="41"/>
      <c r="N40" s="41"/>
      <c r="O40" s="64"/>
      <c r="P40" s="63">
        <f t="shared" si="1"/>
        <v>76012</v>
      </c>
      <c r="Q40" s="41">
        <f t="shared" si="1"/>
        <v>76012</v>
      </c>
      <c r="R40" s="41">
        <f t="shared" si="1"/>
        <v>0</v>
      </c>
      <c r="S40" s="66">
        <f t="shared" si="1"/>
        <v>0</v>
      </c>
    </row>
    <row r="41" spans="1:19" ht="15" x14ac:dyDescent="0.25">
      <c r="A41" s="73"/>
      <c r="B41" s="67" t="s">
        <v>14</v>
      </c>
      <c r="C41" s="62" t="s">
        <v>45</v>
      </c>
      <c r="D41" s="63"/>
      <c r="E41" s="41"/>
      <c r="F41" s="41"/>
      <c r="G41" s="64"/>
      <c r="H41" s="63"/>
      <c r="I41" s="41"/>
      <c r="J41" s="41"/>
      <c r="K41" s="64"/>
      <c r="L41" s="63"/>
      <c r="M41" s="41"/>
      <c r="N41" s="41"/>
      <c r="O41" s="64"/>
      <c r="P41" s="63"/>
      <c r="Q41" s="41"/>
      <c r="R41" s="41"/>
      <c r="S41" s="66"/>
    </row>
    <row r="42" spans="1:19" ht="15" x14ac:dyDescent="0.25">
      <c r="A42" s="73"/>
      <c r="B42" s="67"/>
      <c r="C42" s="62" t="s">
        <v>49</v>
      </c>
      <c r="D42" s="63"/>
      <c r="E42" s="41"/>
      <c r="F42" s="41"/>
      <c r="G42" s="64"/>
      <c r="H42" s="63"/>
      <c r="I42" s="41"/>
      <c r="J42" s="41"/>
      <c r="K42" s="64"/>
      <c r="L42" s="63"/>
      <c r="M42" s="41"/>
      <c r="N42" s="41"/>
      <c r="O42" s="64"/>
      <c r="P42" s="63"/>
      <c r="Q42" s="41"/>
      <c r="R42" s="41"/>
      <c r="S42" s="66"/>
    </row>
    <row r="43" spans="1:19" ht="15" x14ac:dyDescent="0.25">
      <c r="A43" s="73"/>
      <c r="B43" s="67"/>
      <c r="C43" s="62" t="s">
        <v>972</v>
      </c>
      <c r="D43" s="63"/>
      <c r="E43" s="41"/>
      <c r="F43" s="41"/>
      <c r="G43" s="64"/>
      <c r="H43" s="63">
        <v>1606</v>
      </c>
      <c r="I43" s="41">
        <v>1606</v>
      </c>
      <c r="J43" s="41">
        <v>0</v>
      </c>
      <c r="K43" s="64">
        <v>0</v>
      </c>
      <c r="L43" s="63"/>
      <c r="M43" s="41"/>
      <c r="N43" s="41"/>
      <c r="O43" s="64"/>
      <c r="P43" s="63">
        <f t="shared" si="1"/>
        <v>1606</v>
      </c>
      <c r="Q43" s="41">
        <f t="shared" si="1"/>
        <v>1606</v>
      </c>
      <c r="R43" s="41">
        <f t="shared" si="1"/>
        <v>0</v>
      </c>
      <c r="S43" s="66">
        <f t="shared" si="1"/>
        <v>0</v>
      </c>
    </row>
    <row r="44" spans="1:19" s="591" customFormat="1" ht="15" x14ac:dyDescent="0.25">
      <c r="A44" s="74"/>
      <c r="B44" s="75"/>
      <c r="C44" s="69" t="s">
        <v>971</v>
      </c>
      <c r="D44" s="70"/>
      <c r="E44" s="71"/>
      <c r="F44" s="71"/>
      <c r="G44" s="72"/>
      <c r="H44" s="70">
        <v>1606</v>
      </c>
      <c r="I44" s="71">
        <v>1606</v>
      </c>
      <c r="J44" s="71">
        <v>0</v>
      </c>
      <c r="K44" s="72">
        <v>0</v>
      </c>
      <c r="L44" s="70">
        <f>SUM(L43)</f>
        <v>0</v>
      </c>
      <c r="M44" s="71">
        <f t="shared" ref="M44:O44" si="13">SUM(M43)</f>
        <v>0</v>
      </c>
      <c r="N44" s="71">
        <f t="shared" si="13"/>
        <v>0</v>
      </c>
      <c r="O44" s="72">
        <f t="shared" si="13"/>
        <v>0</v>
      </c>
      <c r="P44" s="70">
        <f t="shared" si="1"/>
        <v>1606</v>
      </c>
      <c r="Q44" s="71">
        <f t="shared" si="1"/>
        <v>1606</v>
      </c>
      <c r="R44" s="71">
        <f t="shared" si="1"/>
        <v>0</v>
      </c>
      <c r="S44" s="578">
        <f t="shared" si="1"/>
        <v>0</v>
      </c>
    </row>
    <row r="45" spans="1:19" ht="15" x14ac:dyDescent="0.25">
      <c r="A45" s="73"/>
      <c r="B45" s="67" t="s">
        <v>17</v>
      </c>
      <c r="C45" s="62" t="s">
        <v>46</v>
      </c>
      <c r="D45" s="63"/>
      <c r="E45" s="41"/>
      <c r="F45" s="41"/>
      <c r="G45" s="64"/>
      <c r="H45" s="63"/>
      <c r="I45" s="41"/>
      <c r="J45" s="41"/>
      <c r="K45" s="64"/>
      <c r="L45" s="63"/>
      <c r="M45" s="41"/>
      <c r="N45" s="41"/>
      <c r="O45" s="64"/>
      <c r="P45" s="63"/>
      <c r="Q45" s="41"/>
      <c r="R45" s="41"/>
      <c r="S45" s="66"/>
    </row>
    <row r="46" spans="1:19" ht="15" x14ac:dyDescent="0.25">
      <c r="A46" s="60"/>
      <c r="B46" s="80"/>
      <c r="C46" s="62" t="s">
        <v>0</v>
      </c>
      <c r="D46" s="63">
        <v>3000</v>
      </c>
      <c r="E46" s="41">
        <v>3000</v>
      </c>
      <c r="F46" s="41">
        <v>0</v>
      </c>
      <c r="G46" s="64">
        <v>0</v>
      </c>
      <c r="H46" s="63">
        <v>3000</v>
      </c>
      <c r="I46" s="41">
        <v>3000</v>
      </c>
      <c r="J46" s="41">
        <v>0</v>
      </c>
      <c r="K46" s="64">
        <v>0</v>
      </c>
      <c r="L46" s="63"/>
      <c r="M46" s="41"/>
      <c r="N46" s="41"/>
      <c r="O46" s="64"/>
      <c r="P46" s="63">
        <f t="shared" si="1"/>
        <v>3000</v>
      </c>
      <c r="Q46" s="41">
        <f t="shared" si="1"/>
        <v>3000</v>
      </c>
      <c r="R46" s="41">
        <f t="shared" si="1"/>
        <v>0</v>
      </c>
      <c r="S46" s="66">
        <f t="shared" si="1"/>
        <v>0</v>
      </c>
    </row>
    <row r="47" spans="1:19" ht="15" x14ac:dyDescent="0.25">
      <c r="A47" s="73"/>
      <c r="B47" s="67"/>
      <c r="C47" s="62" t="s">
        <v>190</v>
      </c>
      <c r="D47" s="63">
        <v>3000</v>
      </c>
      <c r="E47" s="41">
        <v>3000</v>
      </c>
      <c r="F47" s="41">
        <v>0</v>
      </c>
      <c r="G47" s="64">
        <v>0</v>
      </c>
      <c r="H47" s="63">
        <v>3000</v>
      </c>
      <c r="I47" s="41">
        <v>3000</v>
      </c>
      <c r="J47" s="41">
        <v>0</v>
      </c>
      <c r="K47" s="64">
        <v>0</v>
      </c>
      <c r="L47" s="63"/>
      <c r="M47" s="41"/>
      <c r="N47" s="41"/>
      <c r="O47" s="64"/>
      <c r="P47" s="63">
        <f t="shared" si="1"/>
        <v>3000</v>
      </c>
      <c r="Q47" s="41">
        <f t="shared" si="1"/>
        <v>3000</v>
      </c>
      <c r="R47" s="41">
        <f t="shared" si="1"/>
        <v>0</v>
      </c>
      <c r="S47" s="66">
        <f t="shared" si="1"/>
        <v>0</v>
      </c>
    </row>
    <row r="48" spans="1:19" ht="15" x14ac:dyDescent="0.25">
      <c r="A48" s="73"/>
      <c r="B48" s="67"/>
      <c r="C48" s="62" t="s">
        <v>191</v>
      </c>
      <c r="D48" s="63">
        <v>200</v>
      </c>
      <c r="E48" s="41">
        <v>200</v>
      </c>
      <c r="F48" s="41">
        <v>0</v>
      </c>
      <c r="G48" s="64">
        <v>0</v>
      </c>
      <c r="H48" s="63">
        <v>200</v>
      </c>
      <c r="I48" s="41">
        <v>200</v>
      </c>
      <c r="J48" s="41">
        <v>0</v>
      </c>
      <c r="K48" s="64">
        <v>0</v>
      </c>
      <c r="L48" s="63"/>
      <c r="M48" s="41"/>
      <c r="N48" s="41"/>
      <c r="O48" s="64"/>
      <c r="P48" s="63">
        <f t="shared" si="1"/>
        <v>200</v>
      </c>
      <c r="Q48" s="41">
        <f t="shared" si="1"/>
        <v>200</v>
      </c>
      <c r="R48" s="41">
        <f t="shared" si="1"/>
        <v>0</v>
      </c>
      <c r="S48" s="66">
        <f t="shared" si="1"/>
        <v>0</v>
      </c>
    </row>
    <row r="49" spans="1:19" ht="15" x14ac:dyDescent="0.25">
      <c r="A49" s="73"/>
      <c r="B49" s="67"/>
      <c r="C49" s="62" t="s">
        <v>886</v>
      </c>
      <c r="D49" s="63">
        <v>3017</v>
      </c>
      <c r="E49" s="41">
        <v>3017</v>
      </c>
      <c r="F49" s="41">
        <v>0</v>
      </c>
      <c r="G49" s="64">
        <v>0</v>
      </c>
      <c r="H49" s="63">
        <v>3017</v>
      </c>
      <c r="I49" s="41">
        <v>3017</v>
      </c>
      <c r="J49" s="41">
        <v>0</v>
      </c>
      <c r="K49" s="64">
        <v>0</v>
      </c>
      <c r="L49" s="63"/>
      <c r="M49" s="41"/>
      <c r="N49" s="41"/>
      <c r="O49" s="64"/>
      <c r="P49" s="63">
        <f t="shared" si="1"/>
        <v>3017</v>
      </c>
      <c r="Q49" s="41">
        <f t="shared" si="1"/>
        <v>3017</v>
      </c>
      <c r="R49" s="41">
        <f t="shared" si="1"/>
        <v>0</v>
      </c>
      <c r="S49" s="66">
        <f t="shared" si="1"/>
        <v>0</v>
      </c>
    </row>
    <row r="50" spans="1:19" ht="15" x14ac:dyDescent="0.25">
      <c r="A50" s="74"/>
      <c r="B50" s="75"/>
      <c r="C50" s="69" t="s">
        <v>48</v>
      </c>
      <c r="D50" s="70">
        <f>SUM(D46:D49)</f>
        <v>9217</v>
      </c>
      <c r="E50" s="71">
        <f t="shared" ref="E50:G50" si="14">SUM(E46:E49)</f>
        <v>9217</v>
      </c>
      <c r="F50" s="71">
        <f t="shared" si="14"/>
        <v>0</v>
      </c>
      <c r="G50" s="72">
        <f t="shared" si="14"/>
        <v>0</v>
      </c>
      <c r="H50" s="70">
        <v>9217</v>
      </c>
      <c r="I50" s="71">
        <v>9217</v>
      </c>
      <c r="J50" s="71">
        <v>0</v>
      </c>
      <c r="K50" s="72">
        <v>0</v>
      </c>
      <c r="L50" s="70">
        <f>SUM(L46:L49)</f>
        <v>0</v>
      </c>
      <c r="M50" s="71">
        <f t="shared" ref="M50:O50" si="15">SUM(M46:M49)</f>
        <v>0</v>
      </c>
      <c r="N50" s="71">
        <f t="shared" si="15"/>
        <v>0</v>
      </c>
      <c r="O50" s="72">
        <f t="shared" si="15"/>
        <v>0</v>
      </c>
      <c r="P50" s="70">
        <f t="shared" si="1"/>
        <v>9217</v>
      </c>
      <c r="Q50" s="71">
        <f t="shared" si="1"/>
        <v>9217</v>
      </c>
      <c r="R50" s="71">
        <f t="shared" si="1"/>
        <v>0</v>
      </c>
      <c r="S50" s="578">
        <f t="shared" si="1"/>
        <v>0</v>
      </c>
    </row>
    <row r="51" spans="1:19" ht="15" x14ac:dyDescent="0.25">
      <c r="A51" s="73"/>
      <c r="B51" s="67"/>
      <c r="C51" s="54" t="s">
        <v>16</v>
      </c>
      <c r="D51" s="55">
        <f>D38+D39+D40+D50</f>
        <v>458597</v>
      </c>
      <c r="E51" s="56">
        <f>E38+E39+E40+E50</f>
        <v>458597</v>
      </c>
      <c r="F51" s="56">
        <f>F38+F39+F40+F50</f>
        <v>0</v>
      </c>
      <c r="G51" s="57">
        <f>G38+G39+G40+G50</f>
        <v>0</v>
      </c>
      <c r="H51" s="55">
        <v>588060</v>
      </c>
      <c r="I51" s="56">
        <v>588060</v>
      </c>
      <c r="J51" s="56">
        <v>0</v>
      </c>
      <c r="K51" s="57">
        <v>0</v>
      </c>
      <c r="L51" s="55">
        <f>L38+L39+L40+L50+L44</f>
        <v>0</v>
      </c>
      <c r="M51" s="56">
        <f t="shared" ref="M51:O51" si="16">M38+M39+M40+M50+M44</f>
        <v>0</v>
      </c>
      <c r="N51" s="56">
        <f t="shared" si="16"/>
        <v>0</v>
      </c>
      <c r="O51" s="57">
        <f t="shared" si="16"/>
        <v>0</v>
      </c>
      <c r="P51" s="55">
        <f t="shared" si="1"/>
        <v>588060</v>
      </c>
      <c r="Q51" s="56">
        <f t="shared" si="1"/>
        <v>588060</v>
      </c>
      <c r="R51" s="56">
        <f t="shared" si="1"/>
        <v>0</v>
      </c>
      <c r="S51" s="584">
        <f t="shared" si="1"/>
        <v>0</v>
      </c>
    </row>
    <row r="52" spans="1:19" ht="15" x14ac:dyDescent="0.25">
      <c r="A52" s="73"/>
      <c r="B52" s="67"/>
      <c r="C52" s="54"/>
      <c r="D52" s="55"/>
      <c r="E52" s="56"/>
      <c r="F52" s="56"/>
      <c r="G52" s="57"/>
      <c r="H52" s="63"/>
      <c r="I52" s="41"/>
      <c r="J52" s="41"/>
      <c r="K52" s="64"/>
      <c r="L52" s="55"/>
      <c r="M52" s="56"/>
      <c r="N52" s="56"/>
      <c r="O52" s="57"/>
      <c r="P52" s="63"/>
      <c r="Q52" s="41"/>
      <c r="R52" s="41"/>
      <c r="S52" s="66"/>
    </row>
    <row r="53" spans="1:19" ht="15" x14ac:dyDescent="0.25">
      <c r="A53" s="73"/>
      <c r="B53" s="67"/>
      <c r="C53" s="54" t="s">
        <v>247</v>
      </c>
      <c r="D53" s="76">
        <f t="shared" ref="D53:O53" si="17">D19+D35+D51</f>
        <v>1179994</v>
      </c>
      <c r="E53" s="77">
        <f t="shared" si="17"/>
        <v>1179994</v>
      </c>
      <c r="F53" s="77">
        <f t="shared" si="17"/>
        <v>0</v>
      </c>
      <c r="G53" s="78">
        <f t="shared" si="17"/>
        <v>0</v>
      </c>
      <c r="H53" s="76">
        <v>1312653</v>
      </c>
      <c r="I53" s="77">
        <v>1312653</v>
      </c>
      <c r="J53" s="77">
        <v>0</v>
      </c>
      <c r="K53" s="78">
        <v>0</v>
      </c>
      <c r="L53" s="76">
        <f t="shared" si="17"/>
        <v>482</v>
      </c>
      <c r="M53" s="77">
        <f t="shared" si="17"/>
        <v>482</v>
      </c>
      <c r="N53" s="77">
        <f t="shared" si="17"/>
        <v>0</v>
      </c>
      <c r="O53" s="78">
        <f t="shared" si="17"/>
        <v>0</v>
      </c>
      <c r="P53" s="76">
        <f t="shared" si="1"/>
        <v>1313135</v>
      </c>
      <c r="Q53" s="77">
        <f t="shared" si="1"/>
        <v>1313135</v>
      </c>
      <c r="R53" s="77">
        <f t="shared" si="1"/>
        <v>0</v>
      </c>
      <c r="S53" s="617">
        <f t="shared" si="1"/>
        <v>0</v>
      </c>
    </row>
    <row r="54" spans="1:19" ht="15" x14ac:dyDescent="0.25">
      <c r="A54" s="73"/>
      <c r="B54" s="67"/>
      <c r="C54" s="81"/>
      <c r="D54" s="82"/>
      <c r="E54" s="83"/>
      <c r="F54" s="83"/>
      <c r="G54" s="84"/>
      <c r="H54" s="63"/>
      <c r="I54" s="41"/>
      <c r="J54" s="41"/>
      <c r="K54" s="64"/>
      <c r="L54" s="82"/>
      <c r="M54" s="83"/>
      <c r="N54" s="83"/>
      <c r="O54" s="84"/>
      <c r="P54" s="63"/>
      <c r="Q54" s="41"/>
      <c r="R54" s="41"/>
      <c r="S54" s="66"/>
    </row>
    <row r="55" spans="1:19" ht="15" x14ac:dyDescent="0.25">
      <c r="A55" s="52">
        <v>104</v>
      </c>
      <c r="B55" s="67"/>
      <c r="C55" s="54" t="s">
        <v>29</v>
      </c>
      <c r="D55" s="55"/>
      <c r="E55" s="56"/>
      <c r="F55" s="56"/>
      <c r="G55" s="57"/>
      <c r="H55" s="63"/>
      <c r="I55" s="41"/>
      <c r="J55" s="41"/>
      <c r="K55" s="64"/>
      <c r="L55" s="55"/>
      <c r="M55" s="56"/>
      <c r="N55" s="56"/>
      <c r="O55" s="57"/>
      <c r="P55" s="63"/>
      <c r="Q55" s="41"/>
      <c r="R55" s="41"/>
      <c r="S55" s="66"/>
    </row>
    <row r="56" spans="1:19" ht="15" x14ac:dyDescent="0.25">
      <c r="A56" s="73"/>
      <c r="B56" s="67" t="s">
        <v>7</v>
      </c>
      <c r="C56" s="62" t="s">
        <v>20</v>
      </c>
      <c r="D56" s="82"/>
      <c r="E56" s="83"/>
      <c r="F56" s="83"/>
      <c r="G56" s="84"/>
      <c r="H56" s="63"/>
      <c r="I56" s="41"/>
      <c r="J56" s="41"/>
      <c r="K56" s="64"/>
      <c r="L56" s="82"/>
      <c r="M56" s="83"/>
      <c r="N56" s="83"/>
      <c r="O56" s="84"/>
      <c r="P56" s="63"/>
      <c r="Q56" s="41"/>
      <c r="R56" s="41"/>
      <c r="S56" s="66"/>
    </row>
    <row r="57" spans="1:19" ht="15" x14ac:dyDescent="0.25">
      <c r="A57" s="73"/>
      <c r="B57" s="67"/>
      <c r="C57" s="62" t="s">
        <v>149</v>
      </c>
      <c r="D57" s="63">
        <v>37501</v>
      </c>
      <c r="E57" s="41">
        <v>37501</v>
      </c>
      <c r="F57" s="41">
        <v>0</v>
      </c>
      <c r="G57" s="64">
        <v>0</v>
      </c>
      <c r="H57" s="63">
        <v>37501</v>
      </c>
      <c r="I57" s="41">
        <v>37501</v>
      </c>
      <c r="J57" s="41">
        <v>0</v>
      </c>
      <c r="K57" s="64">
        <v>0</v>
      </c>
      <c r="L57" s="63"/>
      <c r="M57" s="41"/>
      <c r="N57" s="41"/>
      <c r="O57" s="64"/>
      <c r="P57" s="63">
        <f t="shared" si="1"/>
        <v>37501</v>
      </c>
      <c r="Q57" s="41">
        <f t="shared" si="1"/>
        <v>37501</v>
      </c>
      <c r="R57" s="41">
        <f t="shared" si="1"/>
        <v>0</v>
      </c>
      <c r="S57" s="66">
        <f t="shared" si="1"/>
        <v>0</v>
      </c>
    </row>
    <row r="58" spans="1:19" ht="15" x14ac:dyDescent="0.25">
      <c r="A58" s="73"/>
      <c r="B58" s="67"/>
      <c r="C58" s="79" t="s">
        <v>182</v>
      </c>
      <c r="D58" s="63">
        <v>26411</v>
      </c>
      <c r="E58" s="41">
        <v>26411</v>
      </c>
      <c r="F58" s="41">
        <v>0</v>
      </c>
      <c r="G58" s="64">
        <v>0</v>
      </c>
      <c r="H58" s="63">
        <v>26411</v>
      </c>
      <c r="I58" s="41">
        <v>26411</v>
      </c>
      <c r="J58" s="41">
        <v>0</v>
      </c>
      <c r="K58" s="64">
        <v>0</v>
      </c>
      <c r="L58" s="63"/>
      <c r="M58" s="41"/>
      <c r="N58" s="41"/>
      <c r="O58" s="64"/>
      <c r="P58" s="63">
        <f t="shared" si="1"/>
        <v>26411</v>
      </c>
      <c r="Q58" s="41">
        <f t="shared" si="1"/>
        <v>26411</v>
      </c>
      <c r="R58" s="41">
        <f t="shared" si="1"/>
        <v>0</v>
      </c>
      <c r="S58" s="66">
        <f t="shared" si="1"/>
        <v>0</v>
      </c>
    </row>
    <row r="59" spans="1:19" ht="15" x14ac:dyDescent="0.25">
      <c r="A59" s="73"/>
      <c r="B59" s="67"/>
      <c r="C59" s="79" t="s">
        <v>150</v>
      </c>
      <c r="D59" s="63">
        <v>13462</v>
      </c>
      <c r="E59" s="41">
        <v>0</v>
      </c>
      <c r="F59" s="41">
        <v>13462</v>
      </c>
      <c r="G59" s="64">
        <v>0</v>
      </c>
      <c r="H59" s="63">
        <v>13462</v>
      </c>
      <c r="I59" s="41">
        <v>0</v>
      </c>
      <c r="J59" s="41">
        <v>13462</v>
      </c>
      <c r="K59" s="64">
        <v>0</v>
      </c>
      <c r="L59" s="63"/>
      <c r="M59" s="41"/>
      <c r="N59" s="41"/>
      <c r="O59" s="64"/>
      <c r="P59" s="63">
        <f t="shared" si="1"/>
        <v>13462</v>
      </c>
      <c r="Q59" s="41">
        <f t="shared" si="1"/>
        <v>0</v>
      </c>
      <c r="R59" s="41">
        <f t="shared" si="1"/>
        <v>13462</v>
      </c>
      <c r="S59" s="66">
        <f t="shared" si="1"/>
        <v>0</v>
      </c>
    </row>
    <row r="60" spans="1:19" ht="15" x14ac:dyDescent="0.25">
      <c r="A60" s="73"/>
      <c r="B60" s="67"/>
      <c r="C60" s="79" t="s">
        <v>151</v>
      </c>
      <c r="D60" s="63">
        <v>56329</v>
      </c>
      <c r="E60" s="41">
        <v>56329</v>
      </c>
      <c r="F60" s="41">
        <v>0</v>
      </c>
      <c r="G60" s="64">
        <v>0</v>
      </c>
      <c r="H60" s="63">
        <v>56329</v>
      </c>
      <c r="I60" s="41">
        <v>56329</v>
      </c>
      <c r="J60" s="41">
        <v>0</v>
      </c>
      <c r="K60" s="64">
        <v>0</v>
      </c>
      <c r="L60" s="63"/>
      <c r="M60" s="41"/>
      <c r="N60" s="41"/>
      <c r="O60" s="64"/>
      <c r="P60" s="63">
        <f t="shared" si="1"/>
        <v>56329</v>
      </c>
      <c r="Q60" s="41">
        <f t="shared" si="1"/>
        <v>56329</v>
      </c>
      <c r="R60" s="41">
        <f t="shared" si="1"/>
        <v>0</v>
      </c>
      <c r="S60" s="66">
        <f t="shared" si="1"/>
        <v>0</v>
      </c>
    </row>
    <row r="61" spans="1:19" ht="15" x14ac:dyDescent="0.25">
      <c r="A61" s="73"/>
      <c r="B61" s="67"/>
      <c r="C61" s="62" t="s">
        <v>192</v>
      </c>
      <c r="D61" s="63">
        <v>2845</v>
      </c>
      <c r="E61" s="41">
        <v>2845</v>
      </c>
      <c r="F61" s="41">
        <v>0</v>
      </c>
      <c r="G61" s="64">
        <v>0</v>
      </c>
      <c r="H61" s="63">
        <v>2845</v>
      </c>
      <c r="I61" s="41">
        <v>2845</v>
      </c>
      <c r="J61" s="41">
        <v>0</v>
      </c>
      <c r="K61" s="64">
        <v>0</v>
      </c>
      <c r="L61" s="63"/>
      <c r="M61" s="41"/>
      <c r="N61" s="41"/>
      <c r="O61" s="64"/>
      <c r="P61" s="63">
        <f t="shared" si="1"/>
        <v>2845</v>
      </c>
      <c r="Q61" s="41">
        <f t="shared" si="1"/>
        <v>2845</v>
      </c>
      <c r="R61" s="41">
        <f t="shared" si="1"/>
        <v>0</v>
      </c>
      <c r="S61" s="66">
        <f t="shared" si="1"/>
        <v>0</v>
      </c>
    </row>
    <row r="62" spans="1:19" ht="15" x14ac:dyDescent="0.25">
      <c r="A62" s="73"/>
      <c r="B62" s="67"/>
      <c r="C62" s="79" t="s">
        <v>203</v>
      </c>
      <c r="D62" s="63">
        <v>36886</v>
      </c>
      <c r="E62" s="41">
        <v>36886</v>
      </c>
      <c r="F62" s="41">
        <v>0</v>
      </c>
      <c r="G62" s="64">
        <v>0</v>
      </c>
      <c r="H62" s="63">
        <v>36886</v>
      </c>
      <c r="I62" s="41">
        <v>36886</v>
      </c>
      <c r="J62" s="41">
        <v>0</v>
      </c>
      <c r="K62" s="64">
        <v>0</v>
      </c>
      <c r="L62" s="63"/>
      <c r="M62" s="41"/>
      <c r="N62" s="41"/>
      <c r="O62" s="64"/>
      <c r="P62" s="63">
        <f t="shared" si="1"/>
        <v>36886</v>
      </c>
      <c r="Q62" s="41">
        <f t="shared" si="1"/>
        <v>36886</v>
      </c>
      <c r="R62" s="41">
        <f t="shared" si="1"/>
        <v>0</v>
      </c>
      <c r="S62" s="66">
        <f t="shared" si="1"/>
        <v>0</v>
      </c>
    </row>
    <row r="63" spans="1:19" ht="15" x14ac:dyDescent="0.25">
      <c r="A63" s="73"/>
      <c r="B63" s="67"/>
      <c r="C63" s="79"/>
      <c r="D63" s="63"/>
      <c r="E63" s="41"/>
      <c r="F63" s="41"/>
      <c r="G63" s="64"/>
      <c r="H63" s="63"/>
      <c r="I63" s="41"/>
      <c r="J63" s="41"/>
      <c r="K63" s="64"/>
      <c r="L63" s="63"/>
      <c r="M63" s="41"/>
      <c r="N63" s="41"/>
      <c r="O63" s="64"/>
      <c r="P63" s="63"/>
      <c r="Q63" s="41"/>
      <c r="R63" s="41"/>
      <c r="S63" s="66"/>
    </row>
    <row r="64" spans="1:19" ht="15" x14ac:dyDescent="0.25">
      <c r="A64" s="73"/>
      <c r="B64" s="67"/>
      <c r="C64" s="81" t="s">
        <v>32</v>
      </c>
      <c r="D64" s="82">
        <f t="shared" ref="D64:G64" si="18">SUM(D57:D63)</f>
        <v>173434</v>
      </c>
      <c r="E64" s="83">
        <f t="shared" si="18"/>
        <v>159972</v>
      </c>
      <c r="F64" s="83">
        <f t="shared" si="18"/>
        <v>13462</v>
      </c>
      <c r="G64" s="84">
        <f t="shared" si="18"/>
        <v>0</v>
      </c>
      <c r="H64" s="82">
        <v>173434</v>
      </c>
      <c r="I64" s="83">
        <v>159972</v>
      </c>
      <c r="J64" s="83">
        <v>13462</v>
      </c>
      <c r="K64" s="84">
        <v>0</v>
      </c>
      <c r="L64" s="82">
        <f t="shared" ref="L64:O64" si="19">SUM(L57:L63)</f>
        <v>0</v>
      </c>
      <c r="M64" s="83">
        <f t="shared" si="19"/>
        <v>0</v>
      </c>
      <c r="N64" s="83">
        <f t="shared" si="19"/>
        <v>0</v>
      </c>
      <c r="O64" s="84">
        <f t="shared" si="19"/>
        <v>0</v>
      </c>
      <c r="P64" s="82">
        <f t="shared" si="1"/>
        <v>173434</v>
      </c>
      <c r="Q64" s="83">
        <f t="shared" si="1"/>
        <v>159972</v>
      </c>
      <c r="R64" s="83">
        <f t="shared" si="1"/>
        <v>13462</v>
      </c>
      <c r="S64" s="618">
        <f t="shared" si="1"/>
        <v>0</v>
      </c>
    </row>
    <row r="65" spans="1:19" ht="15" x14ac:dyDescent="0.25">
      <c r="A65" s="73"/>
      <c r="B65" s="67"/>
      <c r="C65" s="81"/>
      <c r="D65" s="82"/>
      <c r="E65" s="83"/>
      <c r="F65" s="83"/>
      <c r="G65" s="84"/>
      <c r="H65" s="63"/>
      <c r="I65" s="41"/>
      <c r="J65" s="41"/>
      <c r="K65" s="64"/>
      <c r="L65" s="82"/>
      <c r="M65" s="83"/>
      <c r="N65" s="83"/>
      <c r="O65" s="84"/>
      <c r="P65" s="63"/>
      <c r="Q65" s="41"/>
      <c r="R65" s="41"/>
      <c r="S65" s="66"/>
    </row>
    <row r="66" spans="1:19" ht="15" x14ac:dyDescent="0.25">
      <c r="A66" s="73"/>
      <c r="B66" s="67" t="s">
        <v>11</v>
      </c>
      <c r="C66" s="62" t="s">
        <v>51</v>
      </c>
      <c r="D66" s="82"/>
      <c r="E66" s="83"/>
      <c r="F66" s="83"/>
      <c r="G66" s="84"/>
      <c r="H66" s="63"/>
      <c r="I66" s="41"/>
      <c r="J66" s="41"/>
      <c r="K66" s="64"/>
      <c r="L66" s="82"/>
      <c r="M66" s="83"/>
      <c r="N66" s="83"/>
      <c r="O66" s="84"/>
      <c r="P66" s="63"/>
      <c r="Q66" s="41"/>
      <c r="R66" s="41"/>
      <c r="S66" s="66"/>
    </row>
    <row r="67" spans="1:19" ht="15" x14ac:dyDescent="0.25">
      <c r="A67" s="73"/>
      <c r="B67" s="67"/>
      <c r="C67" s="62" t="s">
        <v>149</v>
      </c>
      <c r="D67" s="63">
        <v>4682</v>
      </c>
      <c r="E67" s="41">
        <v>4682</v>
      </c>
      <c r="F67" s="41">
        <v>0</v>
      </c>
      <c r="G67" s="64">
        <v>0</v>
      </c>
      <c r="H67" s="63">
        <v>4682</v>
      </c>
      <c r="I67" s="41">
        <v>4682</v>
      </c>
      <c r="J67" s="41">
        <v>0</v>
      </c>
      <c r="K67" s="64">
        <v>0</v>
      </c>
      <c r="L67" s="63"/>
      <c r="M67" s="41"/>
      <c r="N67" s="41"/>
      <c r="O67" s="64"/>
      <c r="P67" s="63">
        <f t="shared" si="1"/>
        <v>4682</v>
      </c>
      <c r="Q67" s="41">
        <f t="shared" si="1"/>
        <v>4682</v>
      </c>
      <c r="R67" s="41">
        <f t="shared" si="1"/>
        <v>0</v>
      </c>
      <c r="S67" s="66">
        <f t="shared" si="1"/>
        <v>0</v>
      </c>
    </row>
    <row r="68" spans="1:19" ht="15" x14ac:dyDescent="0.25">
      <c r="A68" s="73"/>
      <c r="B68" s="67"/>
      <c r="C68" s="79" t="s">
        <v>182</v>
      </c>
      <c r="D68" s="63">
        <v>3453</v>
      </c>
      <c r="E68" s="41">
        <v>3453</v>
      </c>
      <c r="F68" s="41">
        <v>0</v>
      </c>
      <c r="G68" s="64">
        <v>0</v>
      </c>
      <c r="H68" s="63">
        <v>3453</v>
      </c>
      <c r="I68" s="41">
        <v>3453</v>
      </c>
      <c r="J68" s="41">
        <v>0</v>
      </c>
      <c r="K68" s="64">
        <v>0</v>
      </c>
      <c r="L68" s="63"/>
      <c r="M68" s="41"/>
      <c r="N68" s="41"/>
      <c r="O68" s="64"/>
      <c r="P68" s="63">
        <f t="shared" si="1"/>
        <v>3453</v>
      </c>
      <c r="Q68" s="41">
        <f t="shared" si="1"/>
        <v>3453</v>
      </c>
      <c r="R68" s="41">
        <f t="shared" si="1"/>
        <v>0</v>
      </c>
      <c r="S68" s="66">
        <f t="shared" si="1"/>
        <v>0</v>
      </c>
    </row>
    <row r="69" spans="1:19" ht="15" x14ac:dyDescent="0.25">
      <c r="A69" s="73"/>
      <c r="B69" s="67"/>
      <c r="C69" s="79" t="s">
        <v>150</v>
      </c>
      <c r="D69" s="63">
        <v>1649</v>
      </c>
      <c r="E69" s="41">
        <v>0</v>
      </c>
      <c r="F69" s="41">
        <v>1649</v>
      </c>
      <c r="G69" s="64">
        <v>0</v>
      </c>
      <c r="H69" s="63">
        <v>1649</v>
      </c>
      <c r="I69" s="41">
        <v>0</v>
      </c>
      <c r="J69" s="41">
        <v>1649</v>
      </c>
      <c r="K69" s="64">
        <v>0</v>
      </c>
      <c r="L69" s="63"/>
      <c r="M69" s="41"/>
      <c r="N69" s="41"/>
      <c r="O69" s="64"/>
      <c r="P69" s="63">
        <f t="shared" si="1"/>
        <v>1649</v>
      </c>
      <c r="Q69" s="41">
        <f t="shared" si="1"/>
        <v>0</v>
      </c>
      <c r="R69" s="41">
        <f t="shared" si="1"/>
        <v>1649</v>
      </c>
      <c r="S69" s="66">
        <f t="shared" si="1"/>
        <v>0</v>
      </c>
    </row>
    <row r="70" spans="1:19" ht="15" x14ac:dyDescent="0.25">
      <c r="A70" s="73"/>
      <c r="B70" s="67"/>
      <c r="C70" s="79" t="s">
        <v>152</v>
      </c>
      <c r="D70" s="63">
        <v>8405</v>
      </c>
      <c r="E70" s="41">
        <v>8405</v>
      </c>
      <c r="F70" s="41">
        <v>0</v>
      </c>
      <c r="G70" s="64">
        <v>0</v>
      </c>
      <c r="H70" s="63">
        <v>8405</v>
      </c>
      <c r="I70" s="41">
        <v>8405</v>
      </c>
      <c r="J70" s="41">
        <v>0</v>
      </c>
      <c r="K70" s="64">
        <v>0</v>
      </c>
      <c r="L70" s="63"/>
      <c r="M70" s="41"/>
      <c r="N70" s="41"/>
      <c r="O70" s="64"/>
      <c r="P70" s="63">
        <f t="shared" si="1"/>
        <v>8405</v>
      </c>
      <c r="Q70" s="41">
        <f t="shared" si="1"/>
        <v>8405</v>
      </c>
      <c r="R70" s="41">
        <f t="shared" si="1"/>
        <v>0</v>
      </c>
      <c r="S70" s="66">
        <f t="shared" si="1"/>
        <v>0</v>
      </c>
    </row>
    <row r="71" spans="1:19" ht="15" x14ac:dyDescent="0.25">
      <c r="A71" s="73"/>
      <c r="B71" s="67"/>
      <c r="C71" s="62" t="s">
        <v>192</v>
      </c>
      <c r="D71" s="63">
        <v>555</v>
      </c>
      <c r="E71" s="41">
        <v>555</v>
      </c>
      <c r="F71" s="41">
        <v>0</v>
      </c>
      <c r="G71" s="64">
        <v>0</v>
      </c>
      <c r="H71" s="63">
        <v>555</v>
      </c>
      <c r="I71" s="41">
        <v>555</v>
      </c>
      <c r="J71" s="41">
        <v>0</v>
      </c>
      <c r="K71" s="64">
        <v>0</v>
      </c>
      <c r="L71" s="63"/>
      <c r="M71" s="41"/>
      <c r="N71" s="41"/>
      <c r="O71" s="64"/>
      <c r="P71" s="63">
        <f t="shared" si="1"/>
        <v>555</v>
      </c>
      <c r="Q71" s="41">
        <f t="shared" si="1"/>
        <v>555</v>
      </c>
      <c r="R71" s="41">
        <f t="shared" si="1"/>
        <v>0</v>
      </c>
      <c r="S71" s="66">
        <f t="shared" si="1"/>
        <v>0</v>
      </c>
    </row>
    <row r="72" spans="1:19" ht="15" x14ac:dyDescent="0.25">
      <c r="A72" s="73"/>
      <c r="B72" s="67"/>
      <c r="C72" s="79" t="s">
        <v>203</v>
      </c>
      <c r="D72" s="63">
        <v>4795</v>
      </c>
      <c r="E72" s="41">
        <v>4795</v>
      </c>
      <c r="F72" s="41">
        <v>0</v>
      </c>
      <c r="G72" s="64">
        <v>0</v>
      </c>
      <c r="H72" s="63">
        <v>4795</v>
      </c>
      <c r="I72" s="41">
        <v>4795</v>
      </c>
      <c r="J72" s="41">
        <v>0</v>
      </c>
      <c r="K72" s="64">
        <v>0</v>
      </c>
      <c r="L72" s="63"/>
      <c r="M72" s="41"/>
      <c r="N72" s="41"/>
      <c r="O72" s="64"/>
      <c r="P72" s="63">
        <f t="shared" si="1"/>
        <v>4795</v>
      </c>
      <c r="Q72" s="41">
        <f t="shared" si="1"/>
        <v>4795</v>
      </c>
      <c r="R72" s="41">
        <f t="shared" si="1"/>
        <v>0</v>
      </c>
      <c r="S72" s="66">
        <f t="shared" si="1"/>
        <v>0</v>
      </c>
    </row>
    <row r="73" spans="1:19" ht="15" x14ac:dyDescent="0.25">
      <c r="A73" s="73"/>
      <c r="B73" s="67"/>
      <c r="C73" s="79"/>
      <c r="D73" s="63"/>
      <c r="E73" s="41"/>
      <c r="F73" s="41"/>
      <c r="G73" s="64"/>
      <c r="H73" s="63"/>
      <c r="I73" s="41"/>
      <c r="J73" s="41"/>
      <c r="K73" s="64"/>
      <c r="L73" s="63"/>
      <c r="M73" s="41"/>
      <c r="N73" s="41"/>
      <c r="O73" s="64"/>
      <c r="P73" s="63"/>
      <c r="Q73" s="41"/>
      <c r="R73" s="41"/>
      <c r="S73" s="66"/>
    </row>
    <row r="74" spans="1:19" ht="15" x14ac:dyDescent="0.25">
      <c r="A74" s="73"/>
      <c r="B74" s="67"/>
      <c r="C74" s="81" t="s">
        <v>33</v>
      </c>
      <c r="D74" s="82">
        <f t="shared" ref="D74:G74" si="20">SUM(D67:D73)</f>
        <v>23539</v>
      </c>
      <c r="E74" s="83">
        <f t="shared" si="20"/>
        <v>21890</v>
      </c>
      <c r="F74" s="83">
        <f t="shared" si="20"/>
        <v>1649</v>
      </c>
      <c r="G74" s="84">
        <f t="shared" si="20"/>
        <v>0</v>
      </c>
      <c r="H74" s="82">
        <v>23539</v>
      </c>
      <c r="I74" s="83">
        <v>21890</v>
      </c>
      <c r="J74" s="83">
        <v>1649</v>
      </c>
      <c r="K74" s="84">
        <v>0</v>
      </c>
      <c r="L74" s="82">
        <f t="shared" ref="L74:O74" si="21">SUM(L67:L73)</f>
        <v>0</v>
      </c>
      <c r="M74" s="83">
        <f t="shared" si="21"/>
        <v>0</v>
      </c>
      <c r="N74" s="83">
        <f t="shared" si="21"/>
        <v>0</v>
      </c>
      <c r="O74" s="84">
        <f t="shared" si="21"/>
        <v>0</v>
      </c>
      <c r="P74" s="82">
        <f t="shared" si="1"/>
        <v>23539</v>
      </c>
      <c r="Q74" s="83">
        <f t="shared" si="1"/>
        <v>21890</v>
      </c>
      <c r="R74" s="83">
        <f t="shared" si="1"/>
        <v>1649</v>
      </c>
      <c r="S74" s="618">
        <f t="shared" si="1"/>
        <v>0</v>
      </c>
    </row>
    <row r="75" spans="1:19" ht="15" x14ac:dyDescent="0.25">
      <c r="A75" s="73"/>
      <c r="B75" s="67"/>
      <c r="C75" s="81"/>
      <c r="D75" s="82"/>
      <c r="E75" s="83"/>
      <c r="F75" s="83"/>
      <c r="G75" s="84"/>
      <c r="H75" s="63"/>
      <c r="I75" s="41"/>
      <c r="J75" s="41"/>
      <c r="K75" s="64"/>
      <c r="L75" s="82"/>
      <c r="M75" s="83"/>
      <c r="N75" s="83"/>
      <c r="O75" s="84"/>
      <c r="P75" s="63"/>
      <c r="Q75" s="41"/>
      <c r="R75" s="41"/>
      <c r="S75" s="66"/>
    </row>
    <row r="76" spans="1:19" ht="15" x14ac:dyDescent="0.25">
      <c r="A76" s="73"/>
      <c r="B76" s="67" t="s">
        <v>12</v>
      </c>
      <c r="C76" s="62" t="s">
        <v>25</v>
      </c>
      <c r="D76" s="82"/>
      <c r="E76" s="83"/>
      <c r="F76" s="83"/>
      <c r="G76" s="84"/>
      <c r="H76" s="63"/>
      <c r="I76" s="41"/>
      <c r="J76" s="41"/>
      <c r="K76" s="64"/>
      <c r="L76" s="82"/>
      <c r="M76" s="83"/>
      <c r="N76" s="83"/>
      <c r="O76" s="84"/>
      <c r="P76" s="63"/>
      <c r="Q76" s="41"/>
      <c r="R76" s="41"/>
      <c r="S76" s="66"/>
    </row>
    <row r="77" spans="1:19" ht="15" x14ac:dyDescent="0.25">
      <c r="A77" s="73"/>
      <c r="B77" s="29"/>
      <c r="C77" s="62" t="s">
        <v>30</v>
      </c>
      <c r="D77" s="63">
        <v>2000</v>
      </c>
      <c r="E77" s="41">
        <v>0</v>
      </c>
      <c r="F77" s="41">
        <v>2000</v>
      </c>
      <c r="G77" s="64">
        <v>0</v>
      </c>
      <c r="H77" s="63">
        <v>2000</v>
      </c>
      <c r="I77" s="41">
        <v>0</v>
      </c>
      <c r="J77" s="41">
        <v>2000</v>
      </c>
      <c r="K77" s="64">
        <v>0</v>
      </c>
      <c r="L77" s="63"/>
      <c r="M77" s="41"/>
      <c r="N77" s="41"/>
      <c r="O77" s="64"/>
      <c r="P77" s="63">
        <f t="shared" ref="P77:S141" si="22">H77+L77</f>
        <v>2000</v>
      </c>
      <c r="Q77" s="41">
        <f t="shared" si="22"/>
        <v>0</v>
      </c>
      <c r="R77" s="41">
        <f t="shared" si="22"/>
        <v>2000</v>
      </c>
      <c r="S77" s="66">
        <f t="shared" si="22"/>
        <v>0</v>
      </c>
    </row>
    <row r="78" spans="1:19" ht="15" x14ac:dyDescent="0.25">
      <c r="A78" s="73"/>
      <c r="B78" s="67"/>
      <c r="C78" s="62" t="s">
        <v>80</v>
      </c>
      <c r="D78" s="63">
        <v>2500</v>
      </c>
      <c r="E78" s="41">
        <v>2500</v>
      </c>
      <c r="F78" s="41">
        <v>0</v>
      </c>
      <c r="G78" s="64">
        <v>0</v>
      </c>
      <c r="H78" s="63">
        <v>2500</v>
      </c>
      <c r="I78" s="41">
        <v>2500</v>
      </c>
      <c r="J78" s="41">
        <v>0</v>
      </c>
      <c r="K78" s="64">
        <v>0</v>
      </c>
      <c r="L78" s="63"/>
      <c r="M78" s="41"/>
      <c r="N78" s="41"/>
      <c r="O78" s="64"/>
      <c r="P78" s="63">
        <f t="shared" si="22"/>
        <v>2500</v>
      </c>
      <c r="Q78" s="41">
        <f t="shared" si="22"/>
        <v>2500</v>
      </c>
      <c r="R78" s="41">
        <f t="shared" si="22"/>
        <v>0</v>
      </c>
      <c r="S78" s="66">
        <f t="shared" si="22"/>
        <v>0</v>
      </c>
    </row>
    <row r="79" spans="1:19" ht="15" x14ac:dyDescent="0.25">
      <c r="A79" s="73"/>
      <c r="B79" s="67"/>
      <c r="C79" s="62" t="s">
        <v>241</v>
      </c>
      <c r="D79" s="63">
        <v>1659</v>
      </c>
      <c r="E79" s="41">
        <v>1659</v>
      </c>
      <c r="F79" s="41">
        <v>0</v>
      </c>
      <c r="G79" s="64">
        <v>0</v>
      </c>
      <c r="H79" s="63">
        <v>1659</v>
      </c>
      <c r="I79" s="41">
        <v>1659</v>
      </c>
      <c r="J79" s="41">
        <v>0</v>
      </c>
      <c r="K79" s="64">
        <v>0</v>
      </c>
      <c r="L79" s="63">
        <v>168</v>
      </c>
      <c r="M79" s="41">
        <v>168</v>
      </c>
      <c r="N79" s="41">
        <v>0</v>
      </c>
      <c r="O79" s="64">
        <v>0</v>
      </c>
      <c r="P79" s="63">
        <f t="shared" si="22"/>
        <v>1827</v>
      </c>
      <c r="Q79" s="41">
        <f t="shared" si="22"/>
        <v>1827</v>
      </c>
      <c r="R79" s="41">
        <f t="shared" si="22"/>
        <v>0</v>
      </c>
      <c r="S79" s="66">
        <f t="shared" si="22"/>
        <v>0</v>
      </c>
    </row>
    <row r="80" spans="1:19" ht="15" x14ac:dyDescent="0.25">
      <c r="A80" s="73"/>
      <c r="B80" s="67"/>
      <c r="C80" s="62" t="s">
        <v>249</v>
      </c>
      <c r="D80" s="63">
        <v>21000</v>
      </c>
      <c r="E80" s="41">
        <v>21000</v>
      </c>
      <c r="F80" s="41">
        <v>0</v>
      </c>
      <c r="G80" s="64">
        <v>0</v>
      </c>
      <c r="H80" s="63">
        <v>21000</v>
      </c>
      <c r="I80" s="41">
        <v>21000</v>
      </c>
      <c r="J80" s="41">
        <v>0</v>
      </c>
      <c r="K80" s="64">
        <v>0</v>
      </c>
      <c r="L80" s="63">
        <v>10000</v>
      </c>
      <c r="M80" s="41">
        <v>10000</v>
      </c>
      <c r="N80" s="41">
        <v>0</v>
      </c>
      <c r="O80" s="64">
        <v>0</v>
      </c>
      <c r="P80" s="63">
        <f t="shared" si="22"/>
        <v>31000</v>
      </c>
      <c r="Q80" s="41">
        <f t="shared" si="22"/>
        <v>31000</v>
      </c>
      <c r="R80" s="41">
        <f t="shared" si="22"/>
        <v>0</v>
      </c>
      <c r="S80" s="66">
        <f t="shared" si="22"/>
        <v>0</v>
      </c>
    </row>
    <row r="81" spans="1:20" ht="15" x14ac:dyDescent="0.25">
      <c r="A81" s="73"/>
      <c r="B81" s="67"/>
      <c r="C81" s="62" t="s">
        <v>250</v>
      </c>
      <c r="D81" s="63">
        <v>40000</v>
      </c>
      <c r="E81" s="41">
        <v>40000</v>
      </c>
      <c r="F81" s="41">
        <v>0</v>
      </c>
      <c r="G81" s="64">
        <v>0</v>
      </c>
      <c r="H81" s="63">
        <v>40000</v>
      </c>
      <c r="I81" s="41">
        <v>40000</v>
      </c>
      <c r="J81" s="41">
        <v>0</v>
      </c>
      <c r="K81" s="64">
        <v>0</v>
      </c>
      <c r="L81" s="63"/>
      <c r="M81" s="41"/>
      <c r="N81" s="41"/>
      <c r="O81" s="64"/>
      <c r="P81" s="63">
        <f t="shared" si="22"/>
        <v>40000</v>
      </c>
      <c r="Q81" s="41">
        <f t="shared" si="22"/>
        <v>40000</v>
      </c>
      <c r="R81" s="41">
        <f t="shared" si="22"/>
        <v>0</v>
      </c>
      <c r="S81" s="66">
        <f t="shared" si="22"/>
        <v>0</v>
      </c>
    </row>
    <row r="82" spans="1:20" ht="15" x14ac:dyDescent="0.25">
      <c r="A82" s="73"/>
      <c r="B82" s="67"/>
      <c r="C82" s="62" t="s">
        <v>251</v>
      </c>
      <c r="D82" s="63">
        <v>5000</v>
      </c>
      <c r="E82" s="41">
        <v>5000</v>
      </c>
      <c r="F82" s="41">
        <v>0</v>
      </c>
      <c r="G82" s="64">
        <v>0</v>
      </c>
      <c r="H82" s="63">
        <v>5000</v>
      </c>
      <c r="I82" s="41">
        <v>5000</v>
      </c>
      <c r="J82" s="41">
        <v>0</v>
      </c>
      <c r="K82" s="64">
        <v>0</v>
      </c>
      <c r="L82" s="63"/>
      <c r="M82" s="41"/>
      <c r="N82" s="41"/>
      <c r="O82" s="64"/>
      <c r="P82" s="63">
        <f t="shared" si="22"/>
        <v>5000</v>
      </c>
      <c r="Q82" s="41">
        <f t="shared" si="22"/>
        <v>5000</v>
      </c>
      <c r="R82" s="41">
        <f t="shared" si="22"/>
        <v>0</v>
      </c>
      <c r="S82" s="66">
        <f t="shared" si="22"/>
        <v>0</v>
      </c>
    </row>
    <row r="83" spans="1:20" ht="15" x14ac:dyDescent="0.25">
      <c r="A83" s="60"/>
      <c r="B83" s="80"/>
      <c r="C83" s="62" t="s">
        <v>252</v>
      </c>
      <c r="D83" s="63">
        <v>7000</v>
      </c>
      <c r="E83" s="41">
        <v>7000</v>
      </c>
      <c r="F83" s="41">
        <v>0</v>
      </c>
      <c r="G83" s="64">
        <v>0</v>
      </c>
      <c r="H83" s="63">
        <v>7000</v>
      </c>
      <c r="I83" s="41">
        <v>7000</v>
      </c>
      <c r="J83" s="41">
        <v>0</v>
      </c>
      <c r="K83" s="64">
        <v>0</v>
      </c>
      <c r="L83" s="63">
        <v>8700</v>
      </c>
      <c r="M83" s="41">
        <v>8700</v>
      </c>
      <c r="N83" s="41">
        <v>0</v>
      </c>
      <c r="O83" s="64">
        <v>0</v>
      </c>
      <c r="P83" s="63">
        <f t="shared" si="22"/>
        <v>15700</v>
      </c>
      <c r="Q83" s="41">
        <f t="shared" si="22"/>
        <v>15700</v>
      </c>
      <c r="R83" s="41">
        <f t="shared" si="22"/>
        <v>0</v>
      </c>
      <c r="S83" s="66">
        <f t="shared" si="22"/>
        <v>0</v>
      </c>
    </row>
    <row r="84" spans="1:20" ht="31.5" customHeight="1" x14ac:dyDescent="0.25">
      <c r="A84" s="73"/>
      <c r="B84" s="67"/>
      <c r="C84" s="62" t="s">
        <v>253</v>
      </c>
      <c r="D84" s="63">
        <v>50000</v>
      </c>
      <c r="E84" s="41">
        <v>50000</v>
      </c>
      <c r="F84" s="41">
        <v>0</v>
      </c>
      <c r="G84" s="64">
        <v>0</v>
      </c>
      <c r="H84" s="63">
        <v>56440</v>
      </c>
      <c r="I84" s="41">
        <v>56440</v>
      </c>
      <c r="J84" s="41">
        <v>0</v>
      </c>
      <c r="K84" s="64">
        <v>0</v>
      </c>
      <c r="L84" s="63">
        <v>15000</v>
      </c>
      <c r="M84" s="41">
        <v>15000</v>
      </c>
      <c r="N84" s="41">
        <v>0</v>
      </c>
      <c r="O84" s="64">
        <v>0</v>
      </c>
      <c r="P84" s="63">
        <f t="shared" si="22"/>
        <v>71440</v>
      </c>
      <c r="Q84" s="41">
        <f t="shared" si="22"/>
        <v>71440</v>
      </c>
      <c r="R84" s="41">
        <f t="shared" si="22"/>
        <v>0</v>
      </c>
      <c r="S84" s="66">
        <f t="shared" si="22"/>
        <v>0</v>
      </c>
    </row>
    <row r="85" spans="1:20" ht="15" x14ac:dyDescent="0.25">
      <c r="A85" s="73"/>
      <c r="B85" s="67"/>
      <c r="C85" s="62" t="s">
        <v>254</v>
      </c>
      <c r="D85" s="63">
        <v>15000</v>
      </c>
      <c r="E85" s="41">
        <v>15000</v>
      </c>
      <c r="F85" s="41">
        <v>0</v>
      </c>
      <c r="G85" s="64">
        <v>0</v>
      </c>
      <c r="H85" s="63">
        <v>15000</v>
      </c>
      <c r="I85" s="41">
        <v>15000</v>
      </c>
      <c r="J85" s="41">
        <v>0</v>
      </c>
      <c r="K85" s="64">
        <v>0</v>
      </c>
      <c r="L85" s="63"/>
      <c r="M85" s="41"/>
      <c r="N85" s="41"/>
      <c r="O85" s="64"/>
      <c r="P85" s="63">
        <f t="shared" si="22"/>
        <v>15000</v>
      </c>
      <c r="Q85" s="41">
        <f t="shared" si="22"/>
        <v>15000</v>
      </c>
      <c r="R85" s="41">
        <f t="shared" si="22"/>
        <v>0</v>
      </c>
      <c r="S85" s="66">
        <f t="shared" si="22"/>
        <v>0</v>
      </c>
    </row>
    <row r="86" spans="1:20" ht="30" x14ac:dyDescent="0.25">
      <c r="A86" s="73"/>
      <c r="B86" s="67"/>
      <c r="C86" s="79" t="s">
        <v>255</v>
      </c>
      <c r="D86" s="63">
        <v>16000</v>
      </c>
      <c r="E86" s="41">
        <v>16000</v>
      </c>
      <c r="F86" s="41">
        <v>0</v>
      </c>
      <c r="G86" s="64">
        <v>0</v>
      </c>
      <c r="H86" s="63">
        <v>16000</v>
      </c>
      <c r="I86" s="41">
        <v>16000</v>
      </c>
      <c r="J86" s="41">
        <v>0</v>
      </c>
      <c r="K86" s="64">
        <v>0</v>
      </c>
      <c r="L86" s="63">
        <v>1000</v>
      </c>
      <c r="M86" s="41">
        <v>1000</v>
      </c>
      <c r="N86" s="41">
        <v>0</v>
      </c>
      <c r="O86" s="64">
        <v>0</v>
      </c>
      <c r="P86" s="63">
        <f t="shared" si="22"/>
        <v>17000</v>
      </c>
      <c r="Q86" s="41">
        <f t="shared" si="22"/>
        <v>17000</v>
      </c>
      <c r="R86" s="41">
        <f t="shared" si="22"/>
        <v>0</v>
      </c>
      <c r="S86" s="66">
        <f t="shared" si="22"/>
        <v>0</v>
      </c>
    </row>
    <row r="87" spans="1:20" ht="15" x14ac:dyDescent="0.25">
      <c r="A87" s="73"/>
      <c r="B87" s="67"/>
      <c r="C87" s="62" t="s">
        <v>256</v>
      </c>
      <c r="D87" s="63">
        <v>5600</v>
      </c>
      <c r="E87" s="41">
        <v>5600</v>
      </c>
      <c r="F87" s="41">
        <v>0</v>
      </c>
      <c r="G87" s="64">
        <v>0</v>
      </c>
      <c r="H87" s="63">
        <v>0</v>
      </c>
      <c r="I87" s="41">
        <v>0</v>
      </c>
      <c r="J87" s="41">
        <v>0</v>
      </c>
      <c r="K87" s="64">
        <v>0</v>
      </c>
      <c r="L87" s="63">
        <v>400</v>
      </c>
      <c r="M87" s="41">
        <v>400</v>
      </c>
      <c r="N87" s="41">
        <v>0</v>
      </c>
      <c r="O87" s="64">
        <v>0</v>
      </c>
      <c r="P87" s="63">
        <f t="shared" si="22"/>
        <v>400</v>
      </c>
      <c r="Q87" s="41">
        <f t="shared" si="22"/>
        <v>400</v>
      </c>
      <c r="R87" s="41">
        <f t="shared" si="22"/>
        <v>0</v>
      </c>
      <c r="S87" s="66">
        <f t="shared" si="22"/>
        <v>0</v>
      </c>
    </row>
    <row r="88" spans="1:20" ht="15" x14ac:dyDescent="0.25">
      <c r="A88" s="73"/>
      <c r="B88" s="67"/>
      <c r="C88" s="62" t="s">
        <v>257</v>
      </c>
      <c r="D88" s="63">
        <v>45000</v>
      </c>
      <c r="E88" s="41">
        <v>45000</v>
      </c>
      <c r="F88" s="41">
        <v>0</v>
      </c>
      <c r="G88" s="64">
        <v>0</v>
      </c>
      <c r="H88" s="63">
        <v>90700</v>
      </c>
      <c r="I88" s="41">
        <v>90700</v>
      </c>
      <c r="J88" s="41">
        <v>0</v>
      </c>
      <c r="K88" s="64">
        <v>0</v>
      </c>
      <c r="L88" s="63"/>
      <c r="M88" s="41"/>
      <c r="N88" s="41"/>
      <c r="O88" s="64"/>
      <c r="P88" s="63">
        <f t="shared" si="22"/>
        <v>90700</v>
      </c>
      <c r="Q88" s="41">
        <f t="shared" si="22"/>
        <v>90700</v>
      </c>
      <c r="R88" s="41">
        <f t="shared" si="22"/>
        <v>0</v>
      </c>
      <c r="S88" s="66">
        <f t="shared" si="22"/>
        <v>0</v>
      </c>
    </row>
    <row r="89" spans="1:20" ht="15" x14ac:dyDescent="0.25">
      <c r="A89" s="73"/>
      <c r="B89" s="67"/>
      <c r="C89" s="62" t="s">
        <v>258</v>
      </c>
      <c r="D89" s="63"/>
      <c r="E89" s="41"/>
      <c r="F89" s="41"/>
      <c r="G89" s="64"/>
      <c r="H89" s="63"/>
      <c r="I89" s="41"/>
      <c r="J89" s="41"/>
      <c r="K89" s="64"/>
      <c r="L89" s="63"/>
      <c r="M89" s="41"/>
      <c r="N89" s="41"/>
      <c r="O89" s="64"/>
      <c r="P89" s="63"/>
      <c r="Q89" s="41"/>
      <c r="R89" s="41"/>
      <c r="S89" s="66"/>
    </row>
    <row r="90" spans="1:20" ht="15" x14ac:dyDescent="0.25">
      <c r="A90" s="73"/>
      <c r="B90" s="67"/>
      <c r="C90" s="62" t="s">
        <v>259</v>
      </c>
      <c r="D90" s="63">
        <v>2000</v>
      </c>
      <c r="E90" s="41">
        <v>2000</v>
      </c>
      <c r="F90" s="41">
        <v>0</v>
      </c>
      <c r="G90" s="64">
        <v>0</v>
      </c>
      <c r="H90" s="63">
        <v>2000</v>
      </c>
      <c r="I90" s="41">
        <v>2000</v>
      </c>
      <c r="J90" s="41">
        <v>0</v>
      </c>
      <c r="K90" s="64">
        <v>0</v>
      </c>
      <c r="L90" s="63"/>
      <c r="M90" s="41"/>
      <c r="N90" s="41"/>
      <c r="O90" s="64"/>
      <c r="P90" s="63">
        <f t="shared" si="22"/>
        <v>2000</v>
      </c>
      <c r="Q90" s="41">
        <f t="shared" si="22"/>
        <v>2000</v>
      </c>
      <c r="R90" s="41">
        <f t="shared" si="22"/>
        <v>0</v>
      </c>
      <c r="S90" s="66">
        <f t="shared" si="22"/>
        <v>0</v>
      </c>
    </row>
    <row r="91" spans="1:20" ht="15" x14ac:dyDescent="0.25">
      <c r="A91" s="73"/>
      <c r="B91" s="67"/>
      <c r="C91" s="62" t="s">
        <v>260</v>
      </c>
      <c r="D91" s="63">
        <v>6600</v>
      </c>
      <c r="E91" s="41">
        <v>6600</v>
      </c>
      <c r="F91" s="41">
        <v>0</v>
      </c>
      <c r="G91" s="64">
        <v>0</v>
      </c>
      <c r="H91" s="63">
        <v>6600</v>
      </c>
      <c r="I91" s="41">
        <v>6600</v>
      </c>
      <c r="J91" s="41">
        <v>0</v>
      </c>
      <c r="K91" s="64">
        <v>0</v>
      </c>
      <c r="L91" s="63"/>
      <c r="M91" s="41"/>
      <c r="N91" s="41"/>
      <c r="O91" s="64"/>
      <c r="P91" s="63">
        <f t="shared" si="22"/>
        <v>6600</v>
      </c>
      <c r="Q91" s="41">
        <f t="shared" si="22"/>
        <v>6600</v>
      </c>
      <c r="R91" s="41">
        <f t="shared" si="22"/>
        <v>0</v>
      </c>
      <c r="S91" s="66">
        <f t="shared" si="22"/>
        <v>0</v>
      </c>
    </row>
    <row r="92" spans="1:20" ht="15" x14ac:dyDescent="0.25">
      <c r="A92" s="73"/>
      <c r="B92" s="67"/>
      <c r="C92" s="62" t="s">
        <v>261</v>
      </c>
      <c r="D92" s="63">
        <v>8600</v>
      </c>
      <c r="E92" s="41">
        <v>8600</v>
      </c>
      <c r="F92" s="41">
        <v>0</v>
      </c>
      <c r="G92" s="64">
        <v>0</v>
      </c>
      <c r="H92" s="63">
        <v>8600</v>
      </c>
      <c r="I92" s="41">
        <v>8600</v>
      </c>
      <c r="J92" s="41">
        <v>0</v>
      </c>
      <c r="K92" s="64">
        <v>0</v>
      </c>
      <c r="L92" s="63">
        <v>5065</v>
      </c>
      <c r="M92" s="41">
        <v>5065</v>
      </c>
      <c r="N92" s="41">
        <v>0</v>
      </c>
      <c r="O92" s="64">
        <v>0</v>
      </c>
      <c r="P92" s="63">
        <f t="shared" si="22"/>
        <v>13665</v>
      </c>
      <c r="Q92" s="41">
        <f t="shared" si="22"/>
        <v>13665</v>
      </c>
      <c r="R92" s="41">
        <f t="shared" si="22"/>
        <v>0</v>
      </c>
      <c r="S92" s="66">
        <f t="shared" si="22"/>
        <v>0</v>
      </c>
      <c r="T92" s="43"/>
    </row>
    <row r="93" spans="1:20" ht="15" x14ac:dyDescent="0.25">
      <c r="A93" s="73"/>
      <c r="B93" s="67"/>
      <c r="C93" s="79" t="s">
        <v>262</v>
      </c>
      <c r="D93" s="85">
        <v>30000</v>
      </c>
      <c r="E93" s="86">
        <v>0</v>
      </c>
      <c r="F93" s="86">
        <v>30000</v>
      </c>
      <c r="G93" s="87">
        <v>0</v>
      </c>
      <c r="H93" s="85">
        <v>30000</v>
      </c>
      <c r="I93" s="86">
        <v>0</v>
      </c>
      <c r="J93" s="86">
        <v>30000</v>
      </c>
      <c r="K93" s="87">
        <v>0</v>
      </c>
      <c r="L93" s="85">
        <v>15000</v>
      </c>
      <c r="M93" s="86">
        <v>0</v>
      </c>
      <c r="N93" s="86">
        <v>15000</v>
      </c>
      <c r="O93" s="87">
        <v>0</v>
      </c>
      <c r="P93" s="85">
        <f t="shared" si="22"/>
        <v>45000</v>
      </c>
      <c r="Q93" s="86">
        <f t="shared" si="22"/>
        <v>0</v>
      </c>
      <c r="R93" s="86">
        <f t="shared" si="22"/>
        <v>45000</v>
      </c>
      <c r="S93" s="88">
        <f t="shared" si="22"/>
        <v>0</v>
      </c>
    </row>
    <row r="94" spans="1:20" ht="15" x14ac:dyDescent="0.25">
      <c r="A94" s="73"/>
      <c r="B94" s="67"/>
      <c r="C94" s="79" t="s">
        <v>263</v>
      </c>
      <c r="D94" s="85">
        <v>35000</v>
      </c>
      <c r="E94" s="86">
        <v>35000</v>
      </c>
      <c r="F94" s="86">
        <v>0</v>
      </c>
      <c r="G94" s="87">
        <v>0</v>
      </c>
      <c r="H94" s="85">
        <v>35000</v>
      </c>
      <c r="I94" s="86">
        <v>35000</v>
      </c>
      <c r="J94" s="86">
        <v>0</v>
      </c>
      <c r="K94" s="87">
        <v>0</v>
      </c>
      <c r="L94" s="85"/>
      <c r="M94" s="86"/>
      <c r="N94" s="86"/>
      <c r="O94" s="87"/>
      <c r="P94" s="85">
        <f t="shared" si="22"/>
        <v>35000</v>
      </c>
      <c r="Q94" s="86">
        <f t="shared" si="22"/>
        <v>35000</v>
      </c>
      <c r="R94" s="86">
        <f t="shared" si="22"/>
        <v>0</v>
      </c>
      <c r="S94" s="88">
        <f t="shared" si="22"/>
        <v>0</v>
      </c>
    </row>
    <row r="95" spans="1:20" ht="15" x14ac:dyDescent="0.25">
      <c r="A95" s="73"/>
      <c r="B95" s="67"/>
      <c r="C95" s="79" t="s">
        <v>264</v>
      </c>
      <c r="D95" s="85">
        <v>100000</v>
      </c>
      <c r="E95" s="86">
        <v>0</v>
      </c>
      <c r="F95" s="86">
        <v>100000</v>
      </c>
      <c r="G95" s="87">
        <v>0</v>
      </c>
      <c r="H95" s="85">
        <v>100000</v>
      </c>
      <c r="I95" s="86">
        <v>0</v>
      </c>
      <c r="J95" s="86">
        <v>100000</v>
      </c>
      <c r="K95" s="87">
        <v>0</v>
      </c>
      <c r="L95" s="85">
        <v>10000</v>
      </c>
      <c r="M95" s="86"/>
      <c r="N95" s="86">
        <v>10000</v>
      </c>
      <c r="O95" s="87"/>
      <c r="P95" s="85">
        <f t="shared" si="22"/>
        <v>110000</v>
      </c>
      <c r="Q95" s="86">
        <f t="shared" si="22"/>
        <v>0</v>
      </c>
      <c r="R95" s="86">
        <f t="shared" si="22"/>
        <v>110000</v>
      </c>
      <c r="S95" s="88">
        <f t="shared" si="22"/>
        <v>0</v>
      </c>
    </row>
    <row r="96" spans="1:20" ht="15" x14ac:dyDescent="0.25">
      <c r="A96" s="73"/>
      <c r="B96" s="67"/>
      <c r="C96" s="79" t="s">
        <v>265</v>
      </c>
      <c r="D96" s="85">
        <v>14000</v>
      </c>
      <c r="E96" s="86">
        <v>0</v>
      </c>
      <c r="F96" s="86">
        <v>14000</v>
      </c>
      <c r="G96" s="87">
        <v>0</v>
      </c>
      <c r="H96" s="85">
        <v>14000</v>
      </c>
      <c r="I96" s="86">
        <v>0</v>
      </c>
      <c r="J96" s="86">
        <v>14000</v>
      </c>
      <c r="K96" s="87">
        <v>0</v>
      </c>
      <c r="L96" s="85"/>
      <c r="M96" s="86"/>
      <c r="N96" s="86"/>
      <c r="O96" s="87"/>
      <c r="P96" s="85">
        <f t="shared" si="22"/>
        <v>14000</v>
      </c>
      <c r="Q96" s="86">
        <f t="shared" si="22"/>
        <v>0</v>
      </c>
      <c r="R96" s="86">
        <f t="shared" si="22"/>
        <v>14000</v>
      </c>
      <c r="S96" s="88">
        <f t="shared" si="22"/>
        <v>0</v>
      </c>
    </row>
    <row r="97" spans="1:20" ht="15" x14ac:dyDescent="0.25">
      <c r="A97" s="73"/>
      <c r="B97" s="67"/>
      <c r="C97" s="79" t="s">
        <v>266</v>
      </c>
      <c r="D97" s="85"/>
      <c r="E97" s="86"/>
      <c r="F97" s="86"/>
      <c r="G97" s="87"/>
      <c r="H97" s="85"/>
      <c r="I97" s="86"/>
      <c r="J97" s="86"/>
      <c r="K97" s="87"/>
      <c r="L97" s="85"/>
      <c r="M97" s="86"/>
      <c r="N97" s="86"/>
      <c r="O97" s="87"/>
      <c r="P97" s="85"/>
      <c r="Q97" s="86"/>
      <c r="R97" s="86"/>
      <c r="S97" s="88"/>
    </row>
    <row r="98" spans="1:20" ht="15" x14ac:dyDescent="0.25">
      <c r="A98" s="73"/>
      <c r="B98" s="67"/>
      <c r="C98" s="79" t="s">
        <v>267</v>
      </c>
      <c r="D98" s="85">
        <v>600</v>
      </c>
      <c r="E98" s="86">
        <v>0</v>
      </c>
      <c r="F98" s="86">
        <v>600</v>
      </c>
      <c r="G98" s="87">
        <v>0</v>
      </c>
      <c r="H98" s="85">
        <v>600</v>
      </c>
      <c r="I98" s="86">
        <v>0</v>
      </c>
      <c r="J98" s="86">
        <v>600</v>
      </c>
      <c r="K98" s="87">
        <v>0</v>
      </c>
      <c r="L98" s="85">
        <v>3400</v>
      </c>
      <c r="M98" s="86">
        <v>0</v>
      </c>
      <c r="N98" s="86">
        <v>3400</v>
      </c>
      <c r="O98" s="87">
        <v>0</v>
      </c>
      <c r="P98" s="85">
        <f t="shared" si="22"/>
        <v>4000</v>
      </c>
      <c r="Q98" s="86">
        <f t="shared" si="22"/>
        <v>0</v>
      </c>
      <c r="R98" s="86">
        <f t="shared" si="22"/>
        <v>4000</v>
      </c>
      <c r="S98" s="88">
        <f t="shared" si="22"/>
        <v>0</v>
      </c>
    </row>
    <row r="99" spans="1:20" ht="15" x14ac:dyDescent="0.25">
      <c r="A99" s="73"/>
      <c r="B99" s="67"/>
      <c r="C99" s="79" t="s">
        <v>268</v>
      </c>
      <c r="D99" s="85">
        <v>10000</v>
      </c>
      <c r="E99" s="86">
        <v>0</v>
      </c>
      <c r="F99" s="86">
        <v>10000</v>
      </c>
      <c r="G99" s="87">
        <v>0</v>
      </c>
      <c r="H99" s="85">
        <v>10000</v>
      </c>
      <c r="I99" s="86">
        <v>0</v>
      </c>
      <c r="J99" s="86">
        <v>10000</v>
      </c>
      <c r="K99" s="87">
        <v>0</v>
      </c>
      <c r="L99" s="85">
        <v>500</v>
      </c>
      <c r="M99" s="86">
        <v>0</v>
      </c>
      <c r="N99" s="86">
        <v>500</v>
      </c>
      <c r="O99" s="87"/>
      <c r="P99" s="85">
        <f t="shared" si="22"/>
        <v>10500</v>
      </c>
      <c r="Q99" s="86">
        <f t="shared" si="22"/>
        <v>0</v>
      </c>
      <c r="R99" s="86">
        <f t="shared" si="22"/>
        <v>10500</v>
      </c>
      <c r="S99" s="88">
        <f t="shared" si="22"/>
        <v>0</v>
      </c>
    </row>
    <row r="100" spans="1:20" ht="15" x14ac:dyDescent="0.25">
      <c r="A100" s="73"/>
      <c r="B100" s="67"/>
      <c r="C100" s="79" t="s">
        <v>269</v>
      </c>
      <c r="D100" s="85">
        <v>13000</v>
      </c>
      <c r="E100" s="86">
        <v>13000</v>
      </c>
      <c r="F100" s="86">
        <v>0</v>
      </c>
      <c r="G100" s="87">
        <v>0</v>
      </c>
      <c r="H100" s="85">
        <v>15000</v>
      </c>
      <c r="I100" s="86">
        <v>15000</v>
      </c>
      <c r="J100" s="86">
        <v>0</v>
      </c>
      <c r="K100" s="87">
        <v>0</v>
      </c>
      <c r="L100" s="85">
        <v>616</v>
      </c>
      <c r="M100" s="86">
        <v>616</v>
      </c>
      <c r="N100" s="86">
        <v>0</v>
      </c>
      <c r="O100" s="87">
        <v>0</v>
      </c>
      <c r="P100" s="85">
        <f t="shared" si="22"/>
        <v>15616</v>
      </c>
      <c r="Q100" s="86">
        <f t="shared" si="22"/>
        <v>15616</v>
      </c>
      <c r="R100" s="86">
        <f t="shared" si="22"/>
        <v>0</v>
      </c>
      <c r="S100" s="88">
        <f t="shared" si="22"/>
        <v>0</v>
      </c>
      <c r="T100" s="43"/>
    </row>
    <row r="101" spans="1:20" ht="15" x14ac:dyDescent="0.25">
      <c r="A101" s="60"/>
      <c r="B101" s="80"/>
      <c r="C101" s="62" t="s">
        <v>270</v>
      </c>
      <c r="D101" s="63">
        <v>25300</v>
      </c>
      <c r="E101" s="41">
        <v>25300</v>
      </c>
      <c r="F101" s="41">
        <v>0</v>
      </c>
      <c r="G101" s="64">
        <v>0</v>
      </c>
      <c r="H101" s="63">
        <v>25300</v>
      </c>
      <c r="I101" s="41">
        <v>25300</v>
      </c>
      <c r="J101" s="41">
        <v>0</v>
      </c>
      <c r="K101" s="64">
        <v>0</v>
      </c>
      <c r="L101" s="63">
        <v>5000</v>
      </c>
      <c r="M101" s="41">
        <v>5000</v>
      </c>
      <c r="N101" s="41">
        <v>0</v>
      </c>
      <c r="O101" s="64">
        <v>0</v>
      </c>
      <c r="P101" s="63">
        <f t="shared" si="22"/>
        <v>30300</v>
      </c>
      <c r="Q101" s="41">
        <f t="shared" si="22"/>
        <v>30300</v>
      </c>
      <c r="R101" s="41">
        <f t="shared" si="22"/>
        <v>0</v>
      </c>
      <c r="S101" s="66">
        <f t="shared" si="22"/>
        <v>0</v>
      </c>
    </row>
    <row r="102" spans="1:20" ht="15" x14ac:dyDescent="0.25">
      <c r="A102" s="73"/>
      <c r="B102" s="67"/>
      <c r="C102" s="79" t="s">
        <v>271</v>
      </c>
      <c r="D102" s="85">
        <v>9000</v>
      </c>
      <c r="E102" s="86">
        <v>9000</v>
      </c>
      <c r="F102" s="86">
        <v>0</v>
      </c>
      <c r="G102" s="87">
        <v>0</v>
      </c>
      <c r="H102" s="85">
        <v>9000</v>
      </c>
      <c r="I102" s="86">
        <v>9000</v>
      </c>
      <c r="J102" s="86">
        <v>0</v>
      </c>
      <c r="K102" s="87">
        <v>0</v>
      </c>
      <c r="L102" s="85"/>
      <c r="M102" s="86"/>
      <c r="N102" s="86"/>
      <c r="O102" s="87"/>
      <c r="P102" s="85">
        <f t="shared" si="22"/>
        <v>9000</v>
      </c>
      <c r="Q102" s="86">
        <f t="shared" si="22"/>
        <v>9000</v>
      </c>
      <c r="R102" s="86">
        <f t="shared" si="22"/>
        <v>0</v>
      </c>
      <c r="S102" s="88">
        <f t="shared" si="22"/>
        <v>0</v>
      </c>
    </row>
    <row r="103" spans="1:20" ht="31.5" customHeight="1" x14ac:dyDescent="0.25">
      <c r="A103" s="73"/>
      <c r="B103" s="67"/>
      <c r="C103" s="79" t="s">
        <v>272</v>
      </c>
      <c r="D103" s="85">
        <v>361</v>
      </c>
      <c r="E103" s="86">
        <v>361</v>
      </c>
      <c r="F103" s="86">
        <v>0</v>
      </c>
      <c r="G103" s="87">
        <v>0</v>
      </c>
      <c r="H103" s="85">
        <v>361</v>
      </c>
      <c r="I103" s="86">
        <v>361</v>
      </c>
      <c r="J103" s="86">
        <v>0</v>
      </c>
      <c r="K103" s="87">
        <v>0</v>
      </c>
      <c r="L103" s="85"/>
      <c r="M103" s="86"/>
      <c r="N103" s="86"/>
      <c r="O103" s="87"/>
      <c r="P103" s="85">
        <f t="shared" si="22"/>
        <v>361</v>
      </c>
      <c r="Q103" s="86">
        <f t="shared" si="22"/>
        <v>361</v>
      </c>
      <c r="R103" s="86">
        <f t="shared" si="22"/>
        <v>0</v>
      </c>
      <c r="S103" s="88">
        <f t="shared" si="22"/>
        <v>0</v>
      </c>
    </row>
    <row r="104" spans="1:20" ht="45" x14ac:dyDescent="0.25">
      <c r="A104" s="73"/>
      <c r="B104" s="67"/>
      <c r="C104" s="79" t="s">
        <v>273</v>
      </c>
      <c r="D104" s="85">
        <v>1103</v>
      </c>
      <c r="E104" s="86">
        <v>1103</v>
      </c>
      <c r="F104" s="86">
        <v>0</v>
      </c>
      <c r="G104" s="87">
        <v>0</v>
      </c>
      <c r="H104" s="85">
        <v>1103</v>
      </c>
      <c r="I104" s="86">
        <v>1103</v>
      </c>
      <c r="J104" s="86">
        <v>0</v>
      </c>
      <c r="K104" s="87">
        <v>0</v>
      </c>
      <c r="L104" s="85"/>
      <c r="M104" s="86"/>
      <c r="N104" s="86"/>
      <c r="O104" s="87"/>
      <c r="P104" s="85">
        <f t="shared" si="22"/>
        <v>1103</v>
      </c>
      <c r="Q104" s="86">
        <f t="shared" si="22"/>
        <v>1103</v>
      </c>
      <c r="R104" s="86">
        <f t="shared" si="22"/>
        <v>0</v>
      </c>
      <c r="S104" s="88">
        <f t="shared" si="22"/>
        <v>0</v>
      </c>
    </row>
    <row r="105" spans="1:20" ht="45" x14ac:dyDescent="0.25">
      <c r="A105" s="73"/>
      <c r="B105" s="67"/>
      <c r="C105" s="79" t="s">
        <v>274</v>
      </c>
      <c r="D105" s="85">
        <v>726</v>
      </c>
      <c r="E105" s="86">
        <v>726</v>
      </c>
      <c r="F105" s="86">
        <v>0</v>
      </c>
      <c r="G105" s="87">
        <v>0</v>
      </c>
      <c r="H105" s="85">
        <v>726</v>
      </c>
      <c r="I105" s="86">
        <v>726</v>
      </c>
      <c r="J105" s="86">
        <v>0</v>
      </c>
      <c r="K105" s="87">
        <v>0</v>
      </c>
      <c r="L105" s="85">
        <v>450</v>
      </c>
      <c r="M105" s="86">
        <v>450</v>
      </c>
      <c r="N105" s="86"/>
      <c r="O105" s="87"/>
      <c r="P105" s="85">
        <f t="shared" si="22"/>
        <v>1176</v>
      </c>
      <c r="Q105" s="86">
        <f t="shared" si="22"/>
        <v>1176</v>
      </c>
      <c r="R105" s="86">
        <f t="shared" si="22"/>
        <v>0</v>
      </c>
      <c r="S105" s="88">
        <f t="shared" si="22"/>
        <v>0</v>
      </c>
    </row>
    <row r="106" spans="1:20" ht="15" x14ac:dyDescent="0.25">
      <c r="A106" s="73"/>
      <c r="B106" s="67"/>
      <c r="C106" s="79" t="s">
        <v>275</v>
      </c>
      <c r="D106" s="85">
        <v>6</v>
      </c>
      <c r="E106" s="86">
        <v>6</v>
      </c>
      <c r="F106" s="86">
        <v>0</v>
      </c>
      <c r="G106" s="87">
        <v>0</v>
      </c>
      <c r="H106" s="85">
        <v>975</v>
      </c>
      <c r="I106" s="86">
        <v>975</v>
      </c>
      <c r="J106" s="86">
        <v>0</v>
      </c>
      <c r="K106" s="87">
        <v>0</v>
      </c>
      <c r="L106" s="85"/>
      <c r="M106" s="86"/>
      <c r="N106" s="86"/>
      <c r="O106" s="87"/>
      <c r="P106" s="85">
        <f t="shared" si="22"/>
        <v>975</v>
      </c>
      <c r="Q106" s="86">
        <f t="shared" si="22"/>
        <v>975</v>
      </c>
      <c r="R106" s="86">
        <f t="shared" si="22"/>
        <v>0</v>
      </c>
      <c r="S106" s="88">
        <f t="shared" si="22"/>
        <v>0</v>
      </c>
    </row>
    <row r="107" spans="1:20" ht="30" x14ac:dyDescent="0.25">
      <c r="A107" s="73"/>
      <c r="B107" s="67"/>
      <c r="C107" s="79" t="s">
        <v>276</v>
      </c>
      <c r="D107" s="85">
        <v>2494</v>
      </c>
      <c r="E107" s="86">
        <v>2494</v>
      </c>
      <c r="F107" s="86">
        <v>0</v>
      </c>
      <c r="G107" s="87">
        <v>0</v>
      </c>
      <c r="H107" s="85">
        <v>2494</v>
      </c>
      <c r="I107" s="86">
        <v>2494</v>
      </c>
      <c r="J107" s="86">
        <v>0</v>
      </c>
      <c r="K107" s="87">
        <v>0</v>
      </c>
      <c r="L107" s="85">
        <v>-957</v>
      </c>
      <c r="M107" s="86">
        <v>-957</v>
      </c>
      <c r="N107" s="86">
        <v>0</v>
      </c>
      <c r="O107" s="87">
        <v>0</v>
      </c>
      <c r="P107" s="85">
        <f t="shared" si="22"/>
        <v>1537</v>
      </c>
      <c r="Q107" s="86">
        <f t="shared" si="22"/>
        <v>1537</v>
      </c>
      <c r="R107" s="86">
        <f t="shared" si="22"/>
        <v>0</v>
      </c>
      <c r="S107" s="88">
        <f t="shared" si="22"/>
        <v>0</v>
      </c>
    </row>
    <row r="108" spans="1:20" ht="15" x14ac:dyDescent="0.25">
      <c r="A108" s="73"/>
      <c r="B108" s="67"/>
      <c r="C108" s="79" t="s">
        <v>277</v>
      </c>
      <c r="D108" s="85">
        <v>2921</v>
      </c>
      <c r="E108" s="86">
        <v>2921</v>
      </c>
      <c r="F108" s="86">
        <v>0</v>
      </c>
      <c r="G108" s="87">
        <v>0</v>
      </c>
      <c r="H108" s="85">
        <v>2921</v>
      </c>
      <c r="I108" s="86">
        <v>2921</v>
      </c>
      <c r="J108" s="86">
        <v>0</v>
      </c>
      <c r="K108" s="87">
        <v>0</v>
      </c>
      <c r="L108" s="85">
        <v>-424</v>
      </c>
      <c r="M108" s="86">
        <v>-424</v>
      </c>
      <c r="N108" s="86">
        <v>0</v>
      </c>
      <c r="O108" s="87">
        <v>0</v>
      </c>
      <c r="P108" s="85">
        <f t="shared" si="22"/>
        <v>2497</v>
      </c>
      <c r="Q108" s="86">
        <f t="shared" si="22"/>
        <v>2497</v>
      </c>
      <c r="R108" s="86">
        <f t="shared" si="22"/>
        <v>0</v>
      </c>
      <c r="S108" s="88">
        <f t="shared" si="22"/>
        <v>0</v>
      </c>
    </row>
    <row r="109" spans="1:20" ht="30" x14ac:dyDescent="0.25">
      <c r="A109" s="73"/>
      <c r="B109" s="67"/>
      <c r="C109" s="79" t="s">
        <v>865</v>
      </c>
      <c r="D109" s="85">
        <v>2538</v>
      </c>
      <c r="E109" s="86">
        <v>2538</v>
      </c>
      <c r="F109" s="86">
        <v>0</v>
      </c>
      <c r="G109" s="87">
        <v>0</v>
      </c>
      <c r="H109" s="85">
        <v>2538</v>
      </c>
      <c r="I109" s="86">
        <v>2538</v>
      </c>
      <c r="J109" s="86">
        <v>0</v>
      </c>
      <c r="K109" s="87">
        <v>0</v>
      </c>
      <c r="L109" s="85"/>
      <c r="M109" s="86"/>
      <c r="N109" s="86"/>
      <c r="O109" s="87"/>
      <c r="P109" s="85">
        <f t="shared" si="22"/>
        <v>2538</v>
      </c>
      <c r="Q109" s="86">
        <f t="shared" si="22"/>
        <v>2538</v>
      </c>
      <c r="R109" s="86">
        <f t="shared" si="22"/>
        <v>0</v>
      </c>
      <c r="S109" s="88">
        <f t="shared" si="22"/>
        <v>0</v>
      </c>
    </row>
    <row r="110" spans="1:20" ht="30" x14ac:dyDescent="0.25">
      <c r="A110" s="60"/>
      <c r="B110" s="80"/>
      <c r="C110" s="79" t="s">
        <v>866</v>
      </c>
      <c r="D110" s="63">
        <v>3845</v>
      </c>
      <c r="E110" s="41">
        <v>3845</v>
      </c>
      <c r="F110" s="41">
        <v>0</v>
      </c>
      <c r="G110" s="64">
        <v>0</v>
      </c>
      <c r="H110" s="63">
        <v>3845</v>
      </c>
      <c r="I110" s="41">
        <v>3845</v>
      </c>
      <c r="J110" s="41">
        <v>0</v>
      </c>
      <c r="K110" s="64">
        <v>0</v>
      </c>
      <c r="L110" s="63"/>
      <c r="M110" s="41"/>
      <c r="N110" s="41"/>
      <c r="O110" s="64"/>
      <c r="P110" s="63">
        <f t="shared" si="22"/>
        <v>3845</v>
      </c>
      <c r="Q110" s="41">
        <f t="shared" si="22"/>
        <v>3845</v>
      </c>
      <c r="R110" s="41">
        <f t="shared" si="22"/>
        <v>0</v>
      </c>
      <c r="S110" s="66">
        <f t="shared" si="22"/>
        <v>0</v>
      </c>
    </row>
    <row r="111" spans="1:20" ht="30" x14ac:dyDescent="0.25">
      <c r="A111" s="60"/>
      <c r="B111" s="80"/>
      <c r="C111" s="79" t="s">
        <v>867</v>
      </c>
      <c r="D111" s="63">
        <v>17899</v>
      </c>
      <c r="E111" s="41">
        <v>17899</v>
      </c>
      <c r="F111" s="41">
        <v>0</v>
      </c>
      <c r="G111" s="64">
        <v>0</v>
      </c>
      <c r="H111" s="63">
        <v>17899</v>
      </c>
      <c r="I111" s="41">
        <v>17899</v>
      </c>
      <c r="J111" s="41">
        <v>0</v>
      </c>
      <c r="K111" s="64">
        <v>0</v>
      </c>
      <c r="L111" s="63"/>
      <c r="M111" s="41"/>
      <c r="N111" s="41"/>
      <c r="O111" s="64"/>
      <c r="P111" s="63">
        <f t="shared" si="22"/>
        <v>17899</v>
      </c>
      <c r="Q111" s="41">
        <f t="shared" si="22"/>
        <v>17899</v>
      </c>
      <c r="R111" s="41">
        <f t="shared" si="22"/>
        <v>0</v>
      </c>
      <c r="S111" s="66">
        <f t="shared" si="22"/>
        <v>0</v>
      </c>
    </row>
    <row r="112" spans="1:20" ht="30" x14ac:dyDescent="0.25">
      <c r="A112" s="60"/>
      <c r="B112" s="80"/>
      <c r="C112" s="79" t="s">
        <v>868</v>
      </c>
      <c r="D112" s="63">
        <v>17441</v>
      </c>
      <c r="E112" s="41">
        <v>17441</v>
      </c>
      <c r="F112" s="41">
        <v>0</v>
      </c>
      <c r="G112" s="64">
        <v>0</v>
      </c>
      <c r="H112" s="63">
        <v>17441</v>
      </c>
      <c r="I112" s="41">
        <v>17441</v>
      </c>
      <c r="J112" s="41">
        <v>0</v>
      </c>
      <c r="K112" s="64">
        <v>0</v>
      </c>
      <c r="L112" s="63"/>
      <c r="M112" s="41"/>
      <c r="N112" s="41"/>
      <c r="O112" s="64"/>
      <c r="P112" s="63">
        <f t="shared" si="22"/>
        <v>17441</v>
      </c>
      <c r="Q112" s="41">
        <f t="shared" si="22"/>
        <v>17441</v>
      </c>
      <c r="R112" s="41">
        <f t="shared" si="22"/>
        <v>0</v>
      </c>
      <c r="S112" s="66">
        <f t="shared" si="22"/>
        <v>0</v>
      </c>
    </row>
    <row r="113" spans="1:19" ht="30" x14ac:dyDescent="0.25">
      <c r="A113" s="60"/>
      <c r="B113" s="80"/>
      <c r="C113" s="79" t="s">
        <v>869</v>
      </c>
      <c r="D113" s="63">
        <v>19067</v>
      </c>
      <c r="E113" s="41">
        <v>19067</v>
      </c>
      <c r="F113" s="41">
        <v>0</v>
      </c>
      <c r="G113" s="64">
        <v>0</v>
      </c>
      <c r="H113" s="63">
        <v>19067</v>
      </c>
      <c r="I113" s="41">
        <v>19067</v>
      </c>
      <c r="J113" s="41">
        <v>0</v>
      </c>
      <c r="K113" s="64">
        <v>0</v>
      </c>
      <c r="L113" s="63"/>
      <c r="M113" s="41"/>
      <c r="N113" s="41"/>
      <c r="O113" s="64"/>
      <c r="P113" s="63">
        <f t="shared" si="22"/>
        <v>19067</v>
      </c>
      <c r="Q113" s="41">
        <f t="shared" si="22"/>
        <v>19067</v>
      </c>
      <c r="R113" s="41">
        <f t="shared" si="22"/>
        <v>0</v>
      </c>
      <c r="S113" s="66">
        <f t="shared" si="22"/>
        <v>0</v>
      </c>
    </row>
    <row r="114" spans="1:19" ht="15" x14ac:dyDescent="0.25">
      <c r="A114" s="60"/>
      <c r="B114" s="80"/>
      <c r="C114" s="79" t="s">
        <v>870</v>
      </c>
      <c r="D114" s="63">
        <v>38627</v>
      </c>
      <c r="E114" s="41">
        <v>38627</v>
      </c>
      <c r="F114" s="41">
        <v>0</v>
      </c>
      <c r="G114" s="64">
        <v>0</v>
      </c>
      <c r="H114" s="63">
        <v>38627</v>
      </c>
      <c r="I114" s="41">
        <v>38627</v>
      </c>
      <c r="J114" s="41">
        <v>0</v>
      </c>
      <c r="K114" s="64">
        <v>0</v>
      </c>
      <c r="L114" s="63"/>
      <c r="M114" s="41"/>
      <c r="N114" s="41"/>
      <c r="O114" s="64"/>
      <c r="P114" s="63">
        <f t="shared" si="22"/>
        <v>38627</v>
      </c>
      <c r="Q114" s="41">
        <f t="shared" si="22"/>
        <v>38627</v>
      </c>
      <c r="R114" s="41">
        <f t="shared" si="22"/>
        <v>0</v>
      </c>
      <c r="S114" s="66">
        <f t="shared" si="22"/>
        <v>0</v>
      </c>
    </row>
    <row r="115" spans="1:19" ht="15" x14ac:dyDescent="0.25">
      <c r="A115" s="73"/>
      <c r="B115" s="67"/>
      <c r="C115" s="79" t="s">
        <v>871</v>
      </c>
      <c r="D115" s="85">
        <v>30000</v>
      </c>
      <c r="E115" s="86">
        <v>0</v>
      </c>
      <c r="F115" s="86">
        <v>30000</v>
      </c>
      <c r="G115" s="87">
        <v>0</v>
      </c>
      <c r="H115" s="85">
        <v>34130</v>
      </c>
      <c r="I115" s="86">
        <v>4130</v>
      </c>
      <c r="J115" s="86">
        <v>30000</v>
      </c>
      <c r="K115" s="87">
        <v>0</v>
      </c>
      <c r="L115" s="85">
        <v>8370</v>
      </c>
      <c r="M115" s="86">
        <v>-4130</v>
      </c>
      <c r="N115" s="86">
        <v>12500</v>
      </c>
      <c r="O115" s="87">
        <v>0</v>
      </c>
      <c r="P115" s="85">
        <f t="shared" si="22"/>
        <v>42500</v>
      </c>
      <c r="Q115" s="86">
        <f t="shared" si="22"/>
        <v>0</v>
      </c>
      <c r="R115" s="86">
        <f t="shared" si="22"/>
        <v>42500</v>
      </c>
      <c r="S115" s="88">
        <f t="shared" si="22"/>
        <v>0</v>
      </c>
    </row>
    <row r="116" spans="1:19" ht="45.75" customHeight="1" x14ac:dyDescent="0.25">
      <c r="A116" s="73"/>
      <c r="B116" s="67"/>
      <c r="C116" s="79" t="s">
        <v>936</v>
      </c>
      <c r="D116" s="85">
        <v>37000</v>
      </c>
      <c r="E116" s="86">
        <v>37000</v>
      </c>
      <c r="F116" s="86">
        <v>0</v>
      </c>
      <c r="G116" s="87">
        <v>0</v>
      </c>
      <c r="H116" s="85">
        <v>37000</v>
      </c>
      <c r="I116" s="86">
        <v>37000</v>
      </c>
      <c r="J116" s="86">
        <v>0</v>
      </c>
      <c r="K116" s="87">
        <v>0</v>
      </c>
      <c r="L116" s="85"/>
      <c r="M116" s="86"/>
      <c r="N116" s="86"/>
      <c r="O116" s="87"/>
      <c r="P116" s="85">
        <f t="shared" si="22"/>
        <v>37000</v>
      </c>
      <c r="Q116" s="86">
        <f t="shared" si="22"/>
        <v>37000</v>
      </c>
      <c r="R116" s="86">
        <f t="shared" si="22"/>
        <v>0</v>
      </c>
      <c r="S116" s="88">
        <f t="shared" si="22"/>
        <v>0</v>
      </c>
    </row>
    <row r="117" spans="1:19" ht="15" x14ac:dyDescent="0.25">
      <c r="A117" s="73"/>
      <c r="B117" s="67"/>
      <c r="C117" s="79" t="s">
        <v>872</v>
      </c>
      <c r="D117" s="85">
        <v>2000</v>
      </c>
      <c r="E117" s="86">
        <v>0</v>
      </c>
      <c r="F117" s="86">
        <v>2000</v>
      </c>
      <c r="G117" s="87">
        <v>0</v>
      </c>
      <c r="H117" s="85">
        <v>2000</v>
      </c>
      <c r="I117" s="86">
        <v>0</v>
      </c>
      <c r="J117" s="86">
        <v>2000</v>
      </c>
      <c r="K117" s="87">
        <v>0</v>
      </c>
      <c r="L117" s="85"/>
      <c r="M117" s="86"/>
      <c r="N117" s="86"/>
      <c r="O117" s="87"/>
      <c r="P117" s="85">
        <f t="shared" si="22"/>
        <v>2000</v>
      </c>
      <c r="Q117" s="86">
        <f t="shared" si="22"/>
        <v>0</v>
      </c>
      <c r="R117" s="86">
        <f t="shared" si="22"/>
        <v>2000</v>
      </c>
      <c r="S117" s="88">
        <f t="shared" si="22"/>
        <v>0</v>
      </c>
    </row>
    <row r="118" spans="1:19" ht="15" x14ac:dyDescent="0.25">
      <c r="A118" s="60"/>
      <c r="B118" s="80"/>
      <c r="C118" s="62" t="s">
        <v>873</v>
      </c>
      <c r="D118" s="63">
        <v>480</v>
      </c>
      <c r="E118" s="41">
        <v>480</v>
      </c>
      <c r="F118" s="41">
        <v>0</v>
      </c>
      <c r="G118" s="64">
        <v>0</v>
      </c>
      <c r="H118" s="63">
        <v>480</v>
      </c>
      <c r="I118" s="41">
        <v>480</v>
      </c>
      <c r="J118" s="41">
        <v>0</v>
      </c>
      <c r="K118" s="64">
        <v>0</v>
      </c>
      <c r="L118" s="63"/>
      <c r="M118" s="41"/>
      <c r="N118" s="41"/>
      <c r="O118" s="64"/>
      <c r="P118" s="63">
        <f t="shared" si="22"/>
        <v>480</v>
      </c>
      <c r="Q118" s="41">
        <f t="shared" si="22"/>
        <v>480</v>
      </c>
      <c r="R118" s="41">
        <f t="shared" si="22"/>
        <v>0</v>
      </c>
      <c r="S118" s="66">
        <f t="shared" si="22"/>
        <v>0</v>
      </c>
    </row>
    <row r="119" spans="1:19" ht="15" x14ac:dyDescent="0.25">
      <c r="A119" s="60"/>
      <c r="B119" s="80"/>
      <c r="C119" s="79" t="s">
        <v>874</v>
      </c>
      <c r="D119" s="63">
        <v>454355</v>
      </c>
      <c r="E119" s="41">
        <v>454355</v>
      </c>
      <c r="F119" s="41">
        <v>0</v>
      </c>
      <c r="G119" s="64">
        <v>0</v>
      </c>
      <c r="H119" s="63">
        <v>519315</v>
      </c>
      <c r="I119" s="41">
        <v>519315</v>
      </c>
      <c r="J119" s="41">
        <v>0</v>
      </c>
      <c r="K119" s="64">
        <v>0</v>
      </c>
      <c r="L119" s="63"/>
      <c r="M119" s="41"/>
      <c r="N119" s="41"/>
      <c r="O119" s="64"/>
      <c r="P119" s="63">
        <f t="shared" si="22"/>
        <v>519315</v>
      </c>
      <c r="Q119" s="41">
        <f t="shared" si="22"/>
        <v>519315</v>
      </c>
      <c r="R119" s="41">
        <f t="shared" si="22"/>
        <v>0</v>
      </c>
      <c r="S119" s="66">
        <f t="shared" si="22"/>
        <v>0</v>
      </c>
    </row>
    <row r="120" spans="1:19" ht="15" x14ac:dyDescent="0.25">
      <c r="A120" s="60"/>
      <c r="B120" s="80"/>
      <c r="C120" s="79" t="s">
        <v>875</v>
      </c>
      <c r="D120" s="63">
        <v>1000</v>
      </c>
      <c r="E120" s="41">
        <v>1000</v>
      </c>
      <c r="F120" s="41">
        <v>0</v>
      </c>
      <c r="G120" s="64">
        <v>0</v>
      </c>
      <c r="H120" s="63">
        <v>1000</v>
      </c>
      <c r="I120" s="41">
        <v>1000</v>
      </c>
      <c r="J120" s="41">
        <v>0</v>
      </c>
      <c r="K120" s="64">
        <v>0</v>
      </c>
      <c r="L120" s="63"/>
      <c r="M120" s="41"/>
      <c r="N120" s="41"/>
      <c r="O120" s="64"/>
      <c r="P120" s="63">
        <f t="shared" si="22"/>
        <v>1000</v>
      </c>
      <c r="Q120" s="41">
        <f t="shared" si="22"/>
        <v>1000</v>
      </c>
      <c r="R120" s="41">
        <f t="shared" si="22"/>
        <v>0</v>
      </c>
      <c r="S120" s="66">
        <f t="shared" si="22"/>
        <v>0</v>
      </c>
    </row>
    <row r="121" spans="1:19" ht="30" x14ac:dyDescent="0.25">
      <c r="A121" s="60"/>
      <c r="B121" s="80"/>
      <c r="C121" s="79" t="s">
        <v>876</v>
      </c>
      <c r="D121" s="63">
        <v>276000</v>
      </c>
      <c r="E121" s="41">
        <v>276000</v>
      </c>
      <c r="F121" s="41">
        <v>0</v>
      </c>
      <c r="G121" s="64">
        <v>0</v>
      </c>
      <c r="H121" s="63">
        <v>276000</v>
      </c>
      <c r="I121" s="41">
        <v>276000</v>
      </c>
      <c r="J121" s="41">
        <v>0</v>
      </c>
      <c r="K121" s="64">
        <v>0</v>
      </c>
      <c r="L121" s="63"/>
      <c r="M121" s="41"/>
      <c r="N121" s="41"/>
      <c r="O121" s="64"/>
      <c r="P121" s="63">
        <f t="shared" si="22"/>
        <v>276000</v>
      </c>
      <c r="Q121" s="41">
        <f t="shared" si="22"/>
        <v>276000</v>
      </c>
      <c r="R121" s="41">
        <f t="shared" si="22"/>
        <v>0</v>
      </c>
      <c r="S121" s="66">
        <f t="shared" si="22"/>
        <v>0</v>
      </c>
    </row>
    <row r="122" spans="1:19" ht="30" x14ac:dyDescent="0.25">
      <c r="A122" s="60"/>
      <c r="B122" s="80"/>
      <c r="C122" s="79" t="s">
        <v>937</v>
      </c>
      <c r="D122" s="63">
        <v>3500</v>
      </c>
      <c r="E122" s="41">
        <v>3500</v>
      </c>
      <c r="F122" s="41">
        <v>0</v>
      </c>
      <c r="G122" s="64">
        <v>0</v>
      </c>
      <c r="H122" s="63">
        <v>3500</v>
      </c>
      <c r="I122" s="41">
        <v>3500</v>
      </c>
      <c r="J122" s="41">
        <v>0</v>
      </c>
      <c r="K122" s="64">
        <v>0</v>
      </c>
      <c r="L122" s="63"/>
      <c r="M122" s="41"/>
      <c r="N122" s="41"/>
      <c r="O122" s="64"/>
      <c r="P122" s="63">
        <f t="shared" si="22"/>
        <v>3500</v>
      </c>
      <c r="Q122" s="41">
        <f t="shared" si="22"/>
        <v>3500</v>
      </c>
      <c r="R122" s="41">
        <f t="shared" si="22"/>
        <v>0</v>
      </c>
      <c r="S122" s="66">
        <f t="shared" si="22"/>
        <v>0</v>
      </c>
    </row>
    <row r="123" spans="1:19" ht="15" x14ac:dyDescent="0.25">
      <c r="A123" s="60"/>
      <c r="B123" s="80"/>
      <c r="C123" s="79" t="s">
        <v>887</v>
      </c>
      <c r="D123" s="63">
        <v>285</v>
      </c>
      <c r="E123" s="41">
        <v>285</v>
      </c>
      <c r="F123" s="41">
        <v>0</v>
      </c>
      <c r="G123" s="64">
        <v>0</v>
      </c>
      <c r="H123" s="63">
        <v>285</v>
      </c>
      <c r="I123" s="41">
        <v>285</v>
      </c>
      <c r="J123" s="41">
        <v>0</v>
      </c>
      <c r="K123" s="64">
        <v>0</v>
      </c>
      <c r="L123" s="63"/>
      <c r="M123" s="41"/>
      <c r="N123" s="41"/>
      <c r="O123" s="64"/>
      <c r="P123" s="63">
        <f t="shared" si="22"/>
        <v>285</v>
      </c>
      <c r="Q123" s="41">
        <f t="shared" si="22"/>
        <v>285</v>
      </c>
      <c r="R123" s="41">
        <f t="shared" si="22"/>
        <v>0</v>
      </c>
      <c r="S123" s="66">
        <f t="shared" si="22"/>
        <v>0</v>
      </c>
    </row>
    <row r="124" spans="1:19" ht="15" x14ac:dyDescent="0.25">
      <c r="A124" s="60"/>
      <c r="B124" s="80"/>
      <c r="C124" s="79" t="s">
        <v>888</v>
      </c>
      <c r="D124" s="63">
        <v>10000</v>
      </c>
      <c r="E124" s="41">
        <v>10000</v>
      </c>
      <c r="F124" s="41">
        <v>0</v>
      </c>
      <c r="G124" s="64">
        <v>0</v>
      </c>
      <c r="H124" s="63">
        <v>10000</v>
      </c>
      <c r="I124" s="41">
        <v>10000</v>
      </c>
      <c r="J124" s="41">
        <v>0</v>
      </c>
      <c r="K124" s="64">
        <v>0</v>
      </c>
      <c r="L124" s="63"/>
      <c r="M124" s="41"/>
      <c r="N124" s="41"/>
      <c r="O124" s="64"/>
      <c r="P124" s="63">
        <f t="shared" si="22"/>
        <v>10000</v>
      </c>
      <c r="Q124" s="41">
        <f t="shared" si="22"/>
        <v>10000</v>
      </c>
      <c r="R124" s="41">
        <f t="shared" si="22"/>
        <v>0</v>
      </c>
      <c r="S124" s="66">
        <f t="shared" si="22"/>
        <v>0</v>
      </c>
    </row>
    <row r="125" spans="1:19" ht="15" x14ac:dyDescent="0.25">
      <c r="A125" s="60"/>
      <c r="B125" s="80"/>
      <c r="C125" s="79" t="s">
        <v>889</v>
      </c>
      <c r="D125" s="63">
        <v>2245</v>
      </c>
      <c r="E125" s="41">
        <v>2245</v>
      </c>
      <c r="F125" s="41">
        <v>0</v>
      </c>
      <c r="G125" s="64">
        <v>0</v>
      </c>
      <c r="H125" s="63">
        <v>2245</v>
      </c>
      <c r="I125" s="41">
        <v>2245</v>
      </c>
      <c r="J125" s="41">
        <v>0</v>
      </c>
      <c r="K125" s="64">
        <v>0</v>
      </c>
      <c r="L125" s="63">
        <v>2107</v>
      </c>
      <c r="M125" s="41">
        <v>2107</v>
      </c>
      <c r="N125" s="41"/>
      <c r="O125" s="64"/>
      <c r="P125" s="63">
        <f t="shared" si="22"/>
        <v>4352</v>
      </c>
      <c r="Q125" s="41">
        <f t="shared" si="22"/>
        <v>4352</v>
      </c>
      <c r="R125" s="41">
        <f t="shared" si="22"/>
        <v>0</v>
      </c>
      <c r="S125" s="66">
        <f t="shared" si="22"/>
        <v>0</v>
      </c>
    </row>
    <row r="126" spans="1:19" ht="15" x14ac:dyDescent="0.25">
      <c r="A126" s="60"/>
      <c r="B126" s="80"/>
      <c r="C126" s="79" t="s">
        <v>890</v>
      </c>
      <c r="D126" s="63">
        <v>22000</v>
      </c>
      <c r="E126" s="41">
        <v>0</v>
      </c>
      <c r="F126" s="41">
        <v>22000</v>
      </c>
      <c r="G126" s="64">
        <v>0</v>
      </c>
      <c r="H126" s="63">
        <v>22000</v>
      </c>
      <c r="I126" s="41">
        <v>0</v>
      </c>
      <c r="J126" s="41">
        <v>22000</v>
      </c>
      <c r="K126" s="64">
        <v>0</v>
      </c>
      <c r="L126" s="63">
        <v>-17730</v>
      </c>
      <c r="M126" s="41">
        <v>0</v>
      </c>
      <c r="N126" s="41">
        <v>-17730</v>
      </c>
      <c r="O126" s="64">
        <v>0</v>
      </c>
      <c r="P126" s="63">
        <f t="shared" si="22"/>
        <v>4270</v>
      </c>
      <c r="Q126" s="41">
        <f t="shared" si="22"/>
        <v>0</v>
      </c>
      <c r="R126" s="41">
        <f t="shared" si="22"/>
        <v>4270</v>
      </c>
      <c r="S126" s="66">
        <f t="shared" si="22"/>
        <v>0</v>
      </c>
    </row>
    <row r="127" spans="1:19" ht="15" x14ac:dyDescent="0.25">
      <c r="A127" s="60"/>
      <c r="B127" s="80"/>
      <c r="C127" s="79" t="s">
        <v>891</v>
      </c>
      <c r="D127" s="63">
        <v>7198</v>
      </c>
      <c r="E127" s="41">
        <v>7198</v>
      </c>
      <c r="F127" s="41">
        <v>0</v>
      </c>
      <c r="G127" s="64">
        <v>0</v>
      </c>
      <c r="H127" s="63">
        <v>7198</v>
      </c>
      <c r="I127" s="41">
        <v>7198</v>
      </c>
      <c r="J127" s="41">
        <v>0</v>
      </c>
      <c r="K127" s="64">
        <v>0</v>
      </c>
      <c r="L127" s="63"/>
      <c r="M127" s="41"/>
      <c r="N127" s="41"/>
      <c r="O127" s="64"/>
      <c r="P127" s="63">
        <f t="shared" si="22"/>
        <v>7198</v>
      </c>
      <c r="Q127" s="41">
        <f t="shared" si="22"/>
        <v>7198</v>
      </c>
      <c r="R127" s="41">
        <f t="shared" si="22"/>
        <v>0</v>
      </c>
      <c r="S127" s="66">
        <f t="shared" si="22"/>
        <v>0</v>
      </c>
    </row>
    <row r="128" spans="1:19" ht="15" x14ac:dyDescent="0.25">
      <c r="A128" s="60"/>
      <c r="B128" s="80"/>
      <c r="C128" s="79" t="s">
        <v>892</v>
      </c>
      <c r="D128" s="516">
        <v>3100</v>
      </c>
      <c r="E128" s="41">
        <v>3100</v>
      </c>
      <c r="F128" s="41">
        <v>0</v>
      </c>
      <c r="G128" s="64">
        <v>0</v>
      </c>
      <c r="H128" s="516">
        <v>4650</v>
      </c>
      <c r="I128" s="41">
        <v>4650</v>
      </c>
      <c r="J128" s="41">
        <v>0</v>
      </c>
      <c r="K128" s="64">
        <v>0</v>
      </c>
      <c r="L128" s="516">
        <v>550</v>
      </c>
      <c r="M128" s="41">
        <v>550</v>
      </c>
      <c r="N128" s="41"/>
      <c r="O128" s="64"/>
      <c r="P128" s="516">
        <f t="shared" si="22"/>
        <v>5200</v>
      </c>
      <c r="Q128" s="41">
        <f t="shared" si="22"/>
        <v>5200</v>
      </c>
      <c r="R128" s="41">
        <f t="shared" si="22"/>
        <v>0</v>
      </c>
      <c r="S128" s="66">
        <f t="shared" si="22"/>
        <v>0</v>
      </c>
    </row>
    <row r="129" spans="1:19" ht="15" x14ac:dyDescent="0.25">
      <c r="A129" s="60"/>
      <c r="B129" s="80"/>
      <c r="C129" s="79" t="s">
        <v>893</v>
      </c>
      <c r="D129" s="63">
        <v>1000</v>
      </c>
      <c r="E129" s="41">
        <v>1000</v>
      </c>
      <c r="F129" s="41">
        <v>0</v>
      </c>
      <c r="G129" s="64">
        <v>0</v>
      </c>
      <c r="H129" s="63">
        <v>1000</v>
      </c>
      <c r="I129" s="41">
        <v>1000</v>
      </c>
      <c r="J129" s="41">
        <v>0</v>
      </c>
      <c r="K129" s="64">
        <v>0</v>
      </c>
      <c r="L129" s="63"/>
      <c r="M129" s="41"/>
      <c r="N129" s="41"/>
      <c r="O129" s="64"/>
      <c r="P129" s="63">
        <f t="shared" si="22"/>
        <v>1000</v>
      </c>
      <c r="Q129" s="41">
        <f t="shared" si="22"/>
        <v>1000</v>
      </c>
      <c r="R129" s="41">
        <f t="shared" si="22"/>
        <v>0</v>
      </c>
      <c r="S129" s="66">
        <f t="shared" si="22"/>
        <v>0</v>
      </c>
    </row>
    <row r="130" spans="1:19" ht="15" x14ac:dyDescent="0.25">
      <c r="A130" s="60"/>
      <c r="B130" s="80"/>
      <c r="C130" s="79" t="s">
        <v>894</v>
      </c>
      <c r="D130" s="63">
        <v>28409</v>
      </c>
      <c r="E130" s="41">
        <v>0</v>
      </c>
      <c r="F130" s="41">
        <v>28409</v>
      </c>
      <c r="G130" s="64">
        <v>0</v>
      </c>
      <c r="H130" s="63">
        <v>28409</v>
      </c>
      <c r="I130" s="41">
        <v>0</v>
      </c>
      <c r="J130" s="41">
        <v>28409</v>
      </c>
      <c r="K130" s="64">
        <v>0</v>
      </c>
      <c r="L130" s="63"/>
      <c r="M130" s="41"/>
      <c r="N130" s="41"/>
      <c r="O130" s="64"/>
      <c r="P130" s="63">
        <f t="shared" si="22"/>
        <v>28409</v>
      </c>
      <c r="Q130" s="41">
        <f t="shared" si="22"/>
        <v>0</v>
      </c>
      <c r="R130" s="41">
        <f t="shared" si="22"/>
        <v>28409</v>
      </c>
      <c r="S130" s="66">
        <f t="shared" si="22"/>
        <v>0</v>
      </c>
    </row>
    <row r="131" spans="1:19" ht="15" x14ac:dyDescent="0.25">
      <c r="A131" s="60"/>
      <c r="B131" s="80"/>
      <c r="C131" s="79" t="s">
        <v>973</v>
      </c>
      <c r="D131" s="63"/>
      <c r="E131" s="41"/>
      <c r="F131" s="41"/>
      <c r="G131" s="64"/>
      <c r="H131" s="63">
        <v>2114</v>
      </c>
      <c r="I131" s="41">
        <v>2114</v>
      </c>
      <c r="J131" s="41">
        <v>0</v>
      </c>
      <c r="K131" s="64">
        <v>0</v>
      </c>
      <c r="L131" s="63">
        <v>1512</v>
      </c>
      <c r="M131" s="41">
        <v>1512</v>
      </c>
      <c r="N131" s="41">
        <v>0</v>
      </c>
      <c r="O131" s="64">
        <v>0</v>
      </c>
      <c r="P131" s="63">
        <f t="shared" si="22"/>
        <v>3626</v>
      </c>
      <c r="Q131" s="41">
        <f t="shared" si="22"/>
        <v>3626</v>
      </c>
      <c r="R131" s="41">
        <f t="shared" si="22"/>
        <v>0</v>
      </c>
      <c r="S131" s="66">
        <f t="shared" si="22"/>
        <v>0</v>
      </c>
    </row>
    <row r="132" spans="1:19" ht="15" x14ac:dyDescent="0.25">
      <c r="A132" s="60"/>
      <c r="B132" s="80"/>
      <c r="C132" s="79" t="s">
        <v>974</v>
      </c>
      <c r="D132" s="63">
        <v>0</v>
      </c>
      <c r="E132" s="41">
        <v>0</v>
      </c>
      <c r="F132" s="41">
        <v>0</v>
      </c>
      <c r="G132" s="64">
        <v>0</v>
      </c>
      <c r="H132" s="63">
        <v>1743</v>
      </c>
      <c r="I132" s="41">
        <v>0</v>
      </c>
      <c r="J132" s="41">
        <v>1743</v>
      </c>
      <c r="K132" s="64">
        <v>0</v>
      </c>
      <c r="L132" s="63"/>
      <c r="M132" s="41"/>
      <c r="N132" s="41"/>
      <c r="O132" s="64"/>
      <c r="P132" s="63">
        <f t="shared" si="22"/>
        <v>1743</v>
      </c>
      <c r="Q132" s="41">
        <f t="shared" si="22"/>
        <v>0</v>
      </c>
      <c r="R132" s="41">
        <f t="shared" si="22"/>
        <v>1743</v>
      </c>
      <c r="S132" s="66">
        <f t="shared" si="22"/>
        <v>0</v>
      </c>
    </row>
    <row r="133" spans="1:19" ht="30" x14ac:dyDescent="0.25">
      <c r="A133" s="60"/>
      <c r="B133" s="80"/>
      <c r="C133" s="79" t="s">
        <v>975</v>
      </c>
      <c r="D133" s="63"/>
      <c r="E133" s="41"/>
      <c r="F133" s="41"/>
      <c r="G133" s="64"/>
      <c r="H133" s="63">
        <v>3141</v>
      </c>
      <c r="I133" s="41">
        <v>3141</v>
      </c>
      <c r="J133" s="41">
        <v>0</v>
      </c>
      <c r="K133" s="64">
        <v>0</v>
      </c>
      <c r="L133" s="63"/>
      <c r="M133" s="41"/>
      <c r="N133" s="41"/>
      <c r="O133" s="64"/>
      <c r="P133" s="63">
        <f t="shared" si="22"/>
        <v>3141</v>
      </c>
      <c r="Q133" s="41">
        <f t="shared" si="22"/>
        <v>3141</v>
      </c>
      <c r="R133" s="41">
        <f t="shared" si="22"/>
        <v>0</v>
      </c>
      <c r="S133" s="66">
        <f t="shared" si="22"/>
        <v>0</v>
      </c>
    </row>
    <row r="134" spans="1:19" ht="15" x14ac:dyDescent="0.25">
      <c r="A134" s="60"/>
      <c r="B134" s="80"/>
      <c r="C134" s="79" t="s">
        <v>1003</v>
      </c>
      <c r="D134" s="63"/>
      <c r="E134" s="41"/>
      <c r="F134" s="41"/>
      <c r="G134" s="64"/>
      <c r="H134" s="63"/>
      <c r="I134" s="41"/>
      <c r="J134" s="41"/>
      <c r="K134" s="64"/>
      <c r="L134" s="63">
        <v>1016</v>
      </c>
      <c r="M134" s="41">
        <v>0</v>
      </c>
      <c r="N134" s="41">
        <v>1016</v>
      </c>
      <c r="O134" s="64">
        <v>0</v>
      </c>
      <c r="P134" s="63">
        <f t="shared" si="22"/>
        <v>1016</v>
      </c>
      <c r="Q134" s="41">
        <f t="shared" si="22"/>
        <v>0</v>
      </c>
      <c r="R134" s="41">
        <f t="shared" si="22"/>
        <v>1016</v>
      </c>
      <c r="S134" s="66">
        <f t="shared" si="22"/>
        <v>0</v>
      </c>
    </row>
    <row r="135" spans="1:19" ht="15" x14ac:dyDescent="0.25">
      <c r="A135" s="73"/>
      <c r="B135" s="67"/>
      <c r="C135" s="79"/>
      <c r="D135" s="85"/>
      <c r="E135" s="86"/>
      <c r="F135" s="86"/>
      <c r="G135" s="87"/>
      <c r="H135" s="85"/>
      <c r="I135" s="86"/>
      <c r="J135" s="86"/>
      <c r="K135" s="87"/>
      <c r="L135" s="85"/>
      <c r="M135" s="86"/>
      <c r="N135" s="86"/>
      <c r="O135" s="87"/>
      <c r="P135" s="85"/>
      <c r="Q135" s="86"/>
      <c r="R135" s="86"/>
      <c r="S135" s="88"/>
    </row>
    <row r="136" spans="1:19" ht="15" x14ac:dyDescent="0.25">
      <c r="A136" s="73"/>
      <c r="B136" s="67"/>
      <c r="C136" s="81" t="s">
        <v>34</v>
      </c>
      <c r="D136" s="82">
        <f t="shared" ref="D136:O136" si="23">SUM(D77:D135)</f>
        <v>1450459</v>
      </c>
      <c r="E136" s="83">
        <f t="shared" si="23"/>
        <v>1211450</v>
      </c>
      <c r="F136" s="83">
        <f t="shared" si="23"/>
        <v>239009</v>
      </c>
      <c r="G136" s="84">
        <f t="shared" si="23"/>
        <v>0</v>
      </c>
      <c r="H136" s="82">
        <v>1577606</v>
      </c>
      <c r="I136" s="83">
        <v>1336854</v>
      </c>
      <c r="J136" s="83">
        <v>240752</v>
      </c>
      <c r="K136" s="84">
        <v>0</v>
      </c>
      <c r="L136" s="82">
        <f t="shared" si="23"/>
        <v>69743</v>
      </c>
      <c r="M136" s="83">
        <f t="shared" si="23"/>
        <v>45057</v>
      </c>
      <c r="N136" s="83">
        <f t="shared" si="23"/>
        <v>24686</v>
      </c>
      <c r="O136" s="84">
        <f t="shared" si="23"/>
        <v>0</v>
      </c>
      <c r="P136" s="82">
        <f t="shared" si="22"/>
        <v>1647349</v>
      </c>
      <c r="Q136" s="83">
        <f t="shared" si="22"/>
        <v>1381911</v>
      </c>
      <c r="R136" s="83">
        <f t="shared" si="22"/>
        <v>265438</v>
      </c>
      <c r="S136" s="618">
        <f t="shared" si="22"/>
        <v>0</v>
      </c>
    </row>
    <row r="137" spans="1:19" x14ac:dyDescent="0.25">
      <c r="A137" s="73"/>
      <c r="B137" s="67"/>
      <c r="C137" s="81"/>
      <c r="D137" s="90"/>
      <c r="E137" s="42"/>
      <c r="F137" s="42"/>
      <c r="G137" s="91"/>
      <c r="H137" s="63"/>
      <c r="I137" s="41"/>
      <c r="J137" s="41"/>
      <c r="K137" s="64"/>
      <c r="L137" s="90"/>
      <c r="M137" s="42"/>
      <c r="N137" s="42"/>
      <c r="O137" s="91"/>
      <c r="P137" s="63"/>
      <c r="Q137" s="41"/>
      <c r="R137" s="41"/>
      <c r="S137" s="66"/>
    </row>
    <row r="138" spans="1:19" x14ac:dyDescent="0.25">
      <c r="A138" s="73"/>
      <c r="B138" s="67" t="s">
        <v>8</v>
      </c>
      <c r="C138" s="62" t="s">
        <v>44</v>
      </c>
      <c r="D138" s="90"/>
      <c r="E138" s="42"/>
      <c r="F138" s="42"/>
      <c r="G138" s="91"/>
      <c r="H138" s="63"/>
      <c r="I138" s="41"/>
      <c r="J138" s="41"/>
      <c r="K138" s="64"/>
      <c r="L138" s="90"/>
      <c r="M138" s="42"/>
      <c r="N138" s="42"/>
      <c r="O138" s="91"/>
      <c r="P138" s="63"/>
      <c r="Q138" s="41"/>
      <c r="R138" s="41"/>
      <c r="S138" s="66"/>
    </row>
    <row r="139" spans="1:19" ht="15" x14ac:dyDescent="0.25">
      <c r="A139" s="92"/>
      <c r="B139" s="67"/>
      <c r="C139" s="79" t="s">
        <v>81</v>
      </c>
      <c r="D139" s="63"/>
      <c r="E139" s="41"/>
      <c r="F139" s="41"/>
      <c r="G139" s="64"/>
      <c r="H139" s="63"/>
      <c r="I139" s="41"/>
      <c r="J139" s="41"/>
      <c r="K139" s="64"/>
      <c r="L139" s="63"/>
      <c r="M139" s="41"/>
      <c r="N139" s="41"/>
      <c r="O139" s="64"/>
      <c r="P139" s="63"/>
      <c r="Q139" s="41"/>
      <c r="R139" s="41"/>
      <c r="S139" s="66"/>
    </row>
    <row r="140" spans="1:19" ht="15" x14ac:dyDescent="0.25">
      <c r="A140" s="92"/>
      <c r="B140" s="67"/>
      <c r="C140" s="79" t="s">
        <v>82</v>
      </c>
      <c r="D140" s="63">
        <v>3350</v>
      </c>
      <c r="E140" s="41">
        <v>0</v>
      </c>
      <c r="F140" s="41">
        <v>0</v>
      </c>
      <c r="G140" s="64">
        <v>3350</v>
      </c>
      <c r="H140" s="63">
        <v>3350</v>
      </c>
      <c r="I140" s="41">
        <v>0</v>
      </c>
      <c r="J140" s="41">
        <v>0</v>
      </c>
      <c r="K140" s="64">
        <v>3350</v>
      </c>
      <c r="L140" s="63"/>
      <c r="M140" s="41"/>
      <c r="N140" s="41"/>
      <c r="O140" s="64"/>
      <c r="P140" s="63">
        <f t="shared" si="22"/>
        <v>3350</v>
      </c>
      <c r="Q140" s="41">
        <f t="shared" si="22"/>
        <v>0</v>
      </c>
      <c r="R140" s="41">
        <f t="shared" si="22"/>
        <v>0</v>
      </c>
      <c r="S140" s="66">
        <f t="shared" si="22"/>
        <v>3350</v>
      </c>
    </row>
    <row r="141" spans="1:19" ht="15" x14ac:dyDescent="0.25">
      <c r="A141" s="92"/>
      <c r="B141" s="67"/>
      <c r="C141" s="79" t="s">
        <v>156</v>
      </c>
      <c r="D141" s="63">
        <v>2300</v>
      </c>
      <c r="E141" s="41">
        <v>0</v>
      </c>
      <c r="F141" s="41">
        <v>0</v>
      </c>
      <c r="G141" s="64">
        <v>2300</v>
      </c>
      <c r="H141" s="63">
        <v>2300</v>
      </c>
      <c r="I141" s="41">
        <v>0</v>
      </c>
      <c r="J141" s="41">
        <v>0</v>
      </c>
      <c r="K141" s="64">
        <v>2300</v>
      </c>
      <c r="L141" s="63"/>
      <c r="M141" s="41"/>
      <c r="N141" s="41"/>
      <c r="O141" s="64"/>
      <c r="P141" s="63">
        <f t="shared" si="22"/>
        <v>2300</v>
      </c>
      <c r="Q141" s="41">
        <f t="shared" si="22"/>
        <v>0</v>
      </c>
      <c r="R141" s="41">
        <f t="shared" si="22"/>
        <v>0</v>
      </c>
      <c r="S141" s="66">
        <f t="shared" si="22"/>
        <v>2300</v>
      </c>
    </row>
    <row r="142" spans="1:19" ht="15" x14ac:dyDescent="0.25">
      <c r="A142" s="92"/>
      <c r="B142" s="67"/>
      <c r="C142" s="79" t="s">
        <v>157</v>
      </c>
      <c r="D142" s="63">
        <v>2800</v>
      </c>
      <c r="E142" s="41">
        <v>0</v>
      </c>
      <c r="F142" s="41">
        <v>0</v>
      </c>
      <c r="G142" s="64">
        <v>2800</v>
      </c>
      <c r="H142" s="63">
        <v>2800</v>
      </c>
      <c r="I142" s="41">
        <v>0</v>
      </c>
      <c r="J142" s="41">
        <v>0</v>
      </c>
      <c r="K142" s="64">
        <v>2800</v>
      </c>
      <c r="L142" s="63"/>
      <c r="M142" s="41"/>
      <c r="N142" s="41"/>
      <c r="O142" s="64"/>
      <c r="P142" s="63">
        <f t="shared" ref="P142:S205" si="24">H142+L142</f>
        <v>2800</v>
      </c>
      <c r="Q142" s="41">
        <f t="shared" si="24"/>
        <v>0</v>
      </c>
      <c r="R142" s="41">
        <f t="shared" si="24"/>
        <v>0</v>
      </c>
      <c r="S142" s="66">
        <f t="shared" si="24"/>
        <v>2800</v>
      </c>
    </row>
    <row r="143" spans="1:19" ht="15" x14ac:dyDescent="0.25">
      <c r="A143" s="92"/>
      <c r="B143" s="67"/>
      <c r="C143" s="79" t="s">
        <v>158</v>
      </c>
      <c r="D143" s="63">
        <v>1600</v>
      </c>
      <c r="E143" s="41">
        <v>0</v>
      </c>
      <c r="F143" s="41">
        <v>0</v>
      </c>
      <c r="G143" s="64">
        <v>1600</v>
      </c>
      <c r="H143" s="63">
        <v>1600</v>
      </c>
      <c r="I143" s="41">
        <v>0</v>
      </c>
      <c r="J143" s="41">
        <v>0</v>
      </c>
      <c r="K143" s="64">
        <v>1600</v>
      </c>
      <c r="L143" s="63"/>
      <c r="M143" s="41"/>
      <c r="N143" s="41"/>
      <c r="O143" s="64"/>
      <c r="P143" s="63">
        <f t="shared" si="24"/>
        <v>1600</v>
      </c>
      <c r="Q143" s="41">
        <f t="shared" si="24"/>
        <v>0</v>
      </c>
      <c r="R143" s="41">
        <f t="shared" si="24"/>
        <v>0</v>
      </c>
      <c r="S143" s="66">
        <f t="shared" si="24"/>
        <v>1600</v>
      </c>
    </row>
    <row r="144" spans="1:19" ht="15" x14ac:dyDescent="0.25">
      <c r="A144" s="92"/>
      <c r="B144" s="67"/>
      <c r="C144" s="79" t="s">
        <v>159</v>
      </c>
      <c r="D144" s="63">
        <v>1800</v>
      </c>
      <c r="E144" s="41">
        <v>0</v>
      </c>
      <c r="F144" s="41">
        <v>0</v>
      </c>
      <c r="G144" s="64">
        <v>1800</v>
      </c>
      <c r="H144" s="63">
        <v>1800</v>
      </c>
      <c r="I144" s="41">
        <v>0</v>
      </c>
      <c r="J144" s="41">
        <v>0</v>
      </c>
      <c r="K144" s="64">
        <v>1800</v>
      </c>
      <c r="L144" s="63"/>
      <c r="M144" s="41"/>
      <c r="N144" s="41"/>
      <c r="O144" s="64"/>
      <c r="P144" s="63">
        <f t="shared" si="24"/>
        <v>1800</v>
      </c>
      <c r="Q144" s="41">
        <f t="shared" si="24"/>
        <v>0</v>
      </c>
      <c r="R144" s="41">
        <f t="shared" si="24"/>
        <v>0</v>
      </c>
      <c r="S144" s="66">
        <f t="shared" si="24"/>
        <v>1800</v>
      </c>
    </row>
    <row r="145" spans="1:19" ht="15" x14ac:dyDescent="0.25">
      <c r="A145" s="92"/>
      <c r="B145" s="67"/>
      <c r="C145" s="79" t="s">
        <v>160</v>
      </c>
      <c r="D145" s="63">
        <v>600</v>
      </c>
      <c r="E145" s="41">
        <v>0</v>
      </c>
      <c r="F145" s="41">
        <v>0</v>
      </c>
      <c r="G145" s="64">
        <v>600</v>
      </c>
      <c r="H145" s="63">
        <v>600</v>
      </c>
      <c r="I145" s="41">
        <v>0</v>
      </c>
      <c r="J145" s="41">
        <v>0</v>
      </c>
      <c r="K145" s="64">
        <v>600</v>
      </c>
      <c r="L145" s="63"/>
      <c r="M145" s="41"/>
      <c r="N145" s="41"/>
      <c r="O145" s="64"/>
      <c r="P145" s="63">
        <f t="shared" si="24"/>
        <v>600</v>
      </c>
      <c r="Q145" s="41">
        <f t="shared" si="24"/>
        <v>0</v>
      </c>
      <c r="R145" s="41">
        <f t="shared" si="24"/>
        <v>0</v>
      </c>
      <c r="S145" s="66">
        <f t="shared" si="24"/>
        <v>600</v>
      </c>
    </row>
    <row r="146" spans="1:19" ht="15" x14ac:dyDescent="0.25">
      <c r="A146" s="92"/>
      <c r="B146" s="61"/>
      <c r="C146" s="89" t="s">
        <v>193</v>
      </c>
      <c r="D146" s="63">
        <v>150</v>
      </c>
      <c r="E146" s="41">
        <v>0</v>
      </c>
      <c r="F146" s="41">
        <v>0</v>
      </c>
      <c r="G146" s="64">
        <v>150</v>
      </c>
      <c r="H146" s="63">
        <v>150</v>
      </c>
      <c r="I146" s="41">
        <v>0</v>
      </c>
      <c r="J146" s="41">
        <v>0</v>
      </c>
      <c r="K146" s="64">
        <v>150</v>
      </c>
      <c r="L146" s="63">
        <v>75</v>
      </c>
      <c r="M146" s="41">
        <v>0</v>
      </c>
      <c r="N146" s="41">
        <v>0</v>
      </c>
      <c r="O146" s="64">
        <v>75</v>
      </c>
      <c r="P146" s="63">
        <f t="shared" si="24"/>
        <v>225</v>
      </c>
      <c r="Q146" s="41">
        <f t="shared" si="24"/>
        <v>0</v>
      </c>
      <c r="R146" s="41">
        <f t="shared" si="24"/>
        <v>0</v>
      </c>
      <c r="S146" s="66">
        <f t="shared" si="24"/>
        <v>225</v>
      </c>
    </row>
    <row r="147" spans="1:19" ht="15" x14ac:dyDescent="0.25">
      <c r="A147" s="60"/>
      <c r="B147" s="80"/>
      <c r="C147" s="62" t="s">
        <v>83</v>
      </c>
      <c r="D147" s="63">
        <v>2100</v>
      </c>
      <c r="E147" s="41">
        <v>0</v>
      </c>
      <c r="F147" s="41">
        <v>0</v>
      </c>
      <c r="G147" s="64">
        <v>2100</v>
      </c>
      <c r="H147" s="63">
        <v>2100</v>
      </c>
      <c r="I147" s="41">
        <v>0</v>
      </c>
      <c r="J147" s="41">
        <v>0</v>
      </c>
      <c r="K147" s="64">
        <v>2100</v>
      </c>
      <c r="L147" s="63"/>
      <c r="M147" s="41"/>
      <c r="N147" s="41"/>
      <c r="O147" s="64"/>
      <c r="P147" s="63">
        <f t="shared" si="24"/>
        <v>2100</v>
      </c>
      <c r="Q147" s="41">
        <f t="shared" si="24"/>
        <v>0</v>
      </c>
      <c r="R147" s="41">
        <f t="shared" si="24"/>
        <v>0</v>
      </c>
      <c r="S147" s="66">
        <f t="shared" si="24"/>
        <v>2100</v>
      </c>
    </row>
    <row r="148" spans="1:19" ht="15" x14ac:dyDescent="0.25">
      <c r="A148" s="60"/>
      <c r="B148" s="80"/>
      <c r="C148" s="62" t="s">
        <v>84</v>
      </c>
      <c r="D148" s="63">
        <v>300</v>
      </c>
      <c r="E148" s="41">
        <v>0</v>
      </c>
      <c r="F148" s="41">
        <v>0</v>
      </c>
      <c r="G148" s="64">
        <v>300</v>
      </c>
      <c r="H148" s="63">
        <v>300</v>
      </c>
      <c r="I148" s="41">
        <v>0</v>
      </c>
      <c r="J148" s="41">
        <v>0</v>
      </c>
      <c r="K148" s="64">
        <v>300</v>
      </c>
      <c r="L148" s="63">
        <v>100</v>
      </c>
      <c r="M148" s="41">
        <v>0</v>
      </c>
      <c r="N148" s="41">
        <v>0</v>
      </c>
      <c r="O148" s="64">
        <v>100</v>
      </c>
      <c r="P148" s="63">
        <f t="shared" si="24"/>
        <v>400</v>
      </c>
      <c r="Q148" s="41">
        <f t="shared" si="24"/>
        <v>0</v>
      </c>
      <c r="R148" s="41">
        <f t="shared" si="24"/>
        <v>0</v>
      </c>
      <c r="S148" s="66">
        <f t="shared" si="24"/>
        <v>400</v>
      </c>
    </row>
    <row r="149" spans="1:19" ht="15" x14ac:dyDescent="0.25">
      <c r="A149" s="92"/>
      <c r="B149" s="67"/>
      <c r="C149" s="79"/>
      <c r="D149" s="63"/>
      <c r="E149" s="41"/>
      <c r="F149" s="41"/>
      <c r="G149" s="64"/>
      <c r="H149" s="63"/>
      <c r="I149" s="41"/>
      <c r="J149" s="41"/>
      <c r="K149" s="64"/>
      <c r="L149" s="63"/>
      <c r="M149" s="41"/>
      <c r="N149" s="41"/>
      <c r="O149" s="64"/>
      <c r="P149" s="63"/>
      <c r="Q149" s="41"/>
      <c r="R149" s="41"/>
      <c r="S149" s="66"/>
    </row>
    <row r="150" spans="1:19" ht="15" x14ac:dyDescent="0.25">
      <c r="A150" s="73"/>
      <c r="B150" s="93"/>
      <c r="C150" s="81" t="s">
        <v>35</v>
      </c>
      <c r="D150" s="82">
        <f t="shared" ref="D150:O150" si="25">SUM(D139:D149)</f>
        <v>15000</v>
      </c>
      <c r="E150" s="83">
        <f t="shared" si="25"/>
        <v>0</v>
      </c>
      <c r="F150" s="83">
        <f t="shared" si="25"/>
        <v>0</v>
      </c>
      <c r="G150" s="84">
        <f t="shared" si="25"/>
        <v>15000</v>
      </c>
      <c r="H150" s="82">
        <v>15000</v>
      </c>
      <c r="I150" s="83">
        <v>0</v>
      </c>
      <c r="J150" s="83">
        <v>0</v>
      </c>
      <c r="K150" s="84">
        <v>15000</v>
      </c>
      <c r="L150" s="82">
        <f t="shared" si="25"/>
        <v>175</v>
      </c>
      <c r="M150" s="83">
        <f t="shared" si="25"/>
        <v>0</v>
      </c>
      <c r="N150" s="83">
        <f t="shared" si="25"/>
        <v>0</v>
      </c>
      <c r="O150" s="84">
        <f t="shared" si="25"/>
        <v>175</v>
      </c>
      <c r="P150" s="82">
        <f t="shared" si="24"/>
        <v>15175</v>
      </c>
      <c r="Q150" s="83">
        <f t="shared" si="24"/>
        <v>0</v>
      </c>
      <c r="R150" s="83">
        <f t="shared" si="24"/>
        <v>0</v>
      </c>
      <c r="S150" s="618">
        <f t="shared" si="24"/>
        <v>15175</v>
      </c>
    </row>
    <row r="151" spans="1:19" x14ac:dyDescent="0.25">
      <c r="A151" s="73"/>
      <c r="B151" s="67"/>
      <c r="C151" s="81"/>
      <c r="D151" s="90"/>
      <c r="E151" s="42"/>
      <c r="F151" s="42"/>
      <c r="G151" s="91"/>
      <c r="H151" s="63"/>
      <c r="I151" s="41"/>
      <c r="J151" s="41"/>
      <c r="K151" s="64"/>
      <c r="L151" s="90"/>
      <c r="M151" s="42"/>
      <c r="N151" s="42"/>
      <c r="O151" s="91"/>
      <c r="P151" s="63"/>
      <c r="Q151" s="41"/>
      <c r="R151" s="41"/>
      <c r="S151" s="66"/>
    </row>
    <row r="152" spans="1:19" x14ac:dyDescent="0.25">
      <c r="A152" s="73"/>
      <c r="B152" s="67" t="s">
        <v>14</v>
      </c>
      <c r="C152" s="62" t="s">
        <v>45</v>
      </c>
      <c r="D152" s="90"/>
      <c r="E152" s="42"/>
      <c r="F152" s="42"/>
      <c r="G152" s="91"/>
      <c r="H152" s="63"/>
      <c r="I152" s="41"/>
      <c r="J152" s="41"/>
      <c r="K152" s="64"/>
      <c r="L152" s="90"/>
      <c r="M152" s="42"/>
      <c r="N152" s="42"/>
      <c r="O152" s="91"/>
      <c r="P152" s="63"/>
      <c r="Q152" s="41"/>
      <c r="R152" s="41"/>
      <c r="S152" s="66"/>
    </row>
    <row r="153" spans="1:19" x14ac:dyDescent="0.25">
      <c r="A153" s="73"/>
      <c r="B153" s="67"/>
      <c r="C153" s="62" t="s">
        <v>49</v>
      </c>
      <c r="D153" s="90"/>
      <c r="E153" s="42"/>
      <c r="F153" s="42"/>
      <c r="G153" s="91"/>
      <c r="H153" s="63"/>
      <c r="I153" s="41"/>
      <c r="J153" s="41"/>
      <c r="K153" s="64"/>
      <c r="L153" s="90"/>
      <c r="M153" s="42"/>
      <c r="N153" s="42"/>
      <c r="O153" s="91"/>
      <c r="P153" s="63"/>
      <c r="Q153" s="41"/>
      <c r="R153" s="41"/>
      <c r="S153" s="66"/>
    </row>
    <row r="154" spans="1:19" ht="30" x14ac:dyDescent="0.25">
      <c r="A154" s="60"/>
      <c r="B154" s="80"/>
      <c r="C154" s="79" t="s">
        <v>161</v>
      </c>
      <c r="D154" s="63">
        <v>469740</v>
      </c>
      <c r="E154" s="41">
        <v>344740</v>
      </c>
      <c r="F154" s="517">
        <v>125000</v>
      </c>
      <c r="G154" s="518">
        <v>0</v>
      </c>
      <c r="H154" s="63">
        <v>516420</v>
      </c>
      <c r="I154" s="41">
        <v>391420</v>
      </c>
      <c r="J154" s="517">
        <v>125000</v>
      </c>
      <c r="K154" s="518">
        <v>0</v>
      </c>
      <c r="L154" s="63">
        <v>23190</v>
      </c>
      <c r="M154" s="41">
        <v>23190</v>
      </c>
      <c r="N154" s="517">
        <v>0</v>
      </c>
      <c r="O154" s="518">
        <v>0</v>
      </c>
      <c r="P154" s="63">
        <f t="shared" si="24"/>
        <v>539610</v>
      </c>
      <c r="Q154" s="41">
        <f t="shared" si="24"/>
        <v>414610</v>
      </c>
      <c r="R154" s="517">
        <f t="shared" si="24"/>
        <v>125000</v>
      </c>
      <c r="S154" s="619">
        <f t="shared" si="24"/>
        <v>0</v>
      </c>
    </row>
    <row r="155" spans="1:19" ht="30" x14ac:dyDescent="0.25">
      <c r="A155" s="60"/>
      <c r="B155" s="80"/>
      <c r="C155" s="79" t="s">
        <v>162</v>
      </c>
      <c r="D155" s="63">
        <v>1500</v>
      </c>
      <c r="E155" s="41">
        <v>0</v>
      </c>
      <c r="F155" s="41">
        <v>1500</v>
      </c>
      <c r="G155" s="64">
        <v>0</v>
      </c>
      <c r="H155" s="63">
        <v>1500</v>
      </c>
      <c r="I155" s="41">
        <v>0</v>
      </c>
      <c r="J155" s="41">
        <v>1500</v>
      </c>
      <c r="K155" s="64">
        <v>0</v>
      </c>
      <c r="L155" s="63"/>
      <c r="M155" s="41"/>
      <c r="N155" s="41"/>
      <c r="O155" s="64"/>
      <c r="P155" s="63">
        <f t="shared" si="24"/>
        <v>1500</v>
      </c>
      <c r="Q155" s="41">
        <f t="shared" si="24"/>
        <v>0</v>
      </c>
      <c r="R155" s="41">
        <f t="shared" si="24"/>
        <v>1500</v>
      </c>
      <c r="S155" s="66">
        <f t="shared" si="24"/>
        <v>0</v>
      </c>
    </row>
    <row r="156" spans="1:19" ht="15" x14ac:dyDescent="0.25">
      <c r="A156" s="60"/>
      <c r="B156" s="80"/>
      <c r="C156" s="62" t="s">
        <v>179</v>
      </c>
      <c r="D156" s="63">
        <v>2000</v>
      </c>
      <c r="E156" s="41">
        <v>2000</v>
      </c>
      <c r="F156" s="41">
        <v>0</v>
      </c>
      <c r="G156" s="64">
        <v>0</v>
      </c>
      <c r="H156" s="63">
        <v>2000</v>
      </c>
      <c r="I156" s="41">
        <v>2000</v>
      </c>
      <c r="J156" s="41">
        <v>0</v>
      </c>
      <c r="K156" s="64">
        <v>0</v>
      </c>
      <c r="L156" s="63"/>
      <c r="M156" s="41"/>
      <c r="N156" s="41"/>
      <c r="O156" s="64"/>
      <c r="P156" s="63">
        <f t="shared" si="24"/>
        <v>2000</v>
      </c>
      <c r="Q156" s="41">
        <f t="shared" si="24"/>
        <v>2000</v>
      </c>
      <c r="R156" s="41">
        <f t="shared" si="24"/>
        <v>0</v>
      </c>
      <c r="S156" s="66">
        <f t="shared" si="24"/>
        <v>0</v>
      </c>
    </row>
    <row r="157" spans="1:19" ht="15" x14ac:dyDescent="0.25">
      <c r="A157" s="60"/>
      <c r="B157" s="80"/>
      <c r="C157" s="62" t="s">
        <v>163</v>
      </c>
      <c r="D157" s="63">
        <v>5000</v>
      </c>
      <c r="E157" s="41">
        <v>0</v>
      </c>
      <c r="F157" s="41">
        <v>5000</v>
      </c>
      <c r="G157" s="64">
        <v>0</v>
      </c>
      <c r="H157" s="63">
        <v>5000</v>
      </c>
      <c r="I157" s="41">
        <v>0</v>
      </c>
      <c r="J157" s="41">
        <v>5000</v>
      </c>
      <c r="K157" s="64">
        <v>0</v>
      </c>
      <c r="L157" s="63"/>
      <c r="M157" s="41"/>
      <c r="N157" s="41"/>
      <c r="O157" s="64"/>
      <c r="P157" s="63">
        <f t="shared" si="24"/>
        <v>5000</v>
      </c>
      <c r="Q157" s="41">
        <f t="shared" si="24"/>
        <v>0</v>
      </c>
      <c r="R157" s="41">
        <f t="shared" si="24"/>
        <v>5000</v>
      </c>
      <c r="S157" s="66">
        <f t="shared" si="24"/>
        <v>0</v>
      </c>
    </row>
    <row r="158" spans="1:19" ht="15" x14ac:dyDescent="0.25">
      <c r="A158" s="60"/>
      <c r="B158" s="80"/>
      <c r="C158" s="62" t="s">
        <v>194</v>
      </c>
      <c r="D158" s="63">
        <v>859</v>
      </c>
      <c r="E158" s="41">
        <v>859</v>
      </c>
      <c r="F158" s="41">
        <v>0</v>
      </c>
      <c r="G158" s="64">
        <v>0</v>
      </c>
      <c r="H158" s="63">
        <v>1312</v>
      </c>
      <c r="I158" s="41">
        <v>1312</v>
      </c>
      <c r="J158" s="41">
        <v>0</v>
      </c>
      <c r="K158" s="64">
        <v>0</v>
      </c>
      <c r="L158" s="63"/>
      <c r="M158" s="41"/>
      <c r="N158" s="41"/>
      <c r="O158" s="64"/>
      <c r="P158" s="63">
        <f t="shared" si="24"/>
        <v>1312</v>
      </c>
      <c r="Q158" s="41">
        <f t="shared" si="24"/>
        <v>1312</v>
      </c>
      <c r="R158" s="41">
        <f t="shared" si="24"/>
        <v>0</v>
      </c>
      <c r="S158" s="66">
        <f t="shared" si="24"/>
        <v>0</v>
      </c>
    </row>
    <row r="159" spans="1:19" ht="15" x14ac:dyDescent="0.25">
      <c r="A159" s="60"/>
      <c r="B159" s="80"/>
      <c r="C159" s="62" t="s">
        <v>976</v>
      </c>
      <c r="D159" s="63"/>
      <c r="E159" s="41"/>
      <c r="F159" s="41"/>
      <c r="G159" s="64"/>
      <c r="H159" s="63">
        <v>1765</v>
      </c>
      <c r="I159" s="41">
        <v>1765</v>
      </c>
      <c r="J159" s="41">
        <v>0</v>
      </c>
      <c r="K159" s="64">
        <v>0</v>
      </c>
      <c r="L159" s="63">
        <v>1104</v>
      </c>
      <c r="M159" s="41">
        <v>1104</v>
      </c>
      <c r="N159" s="41">
        <v>0</v>
      </c>
      <c r="O159" s="64">
        <v>0</v>
      </c>
      <c r="P159" s="63">
        <f t="shared" si="24"/>
        <v>2869</v>
      </c>
      <c r="Q159" s="41">
        <f t="shared" si="24"/>
        <v>2869</v>
      </c>
      <c r="R159" s="41">
        <f t="shared" si="24"/>
        <v>0</v>
      </c>
      <c r="S159" s="66">
        <f t="shared" si="24"/>
        <v>0</v>
      </c>
    </row>
    <row r="160" spans="1:19" ht="15" x14ac:dyDescent="0.25">
      <c r="A160" s="73"/>
      <c r="B160" s="67"/>
      <c r="C160" s="79"/>
      <c r="D160" s="85"/>
      <c r="E160" s="86"/>
      <c r="F160" s="86"/>
      <c r="G160" s="87"/>
      <c r="H160" s="85"/>
      <c r="I160" s="86"/>
      <c r="J160" s="86"/>
      <c r="K160" s="87"/>
      <c r="L160" s="85"/>
      <c r="M160" s="86"/>
      <c r="N160" s="86"/>
      <c r="O160" s="87"/>
      <c r="P160" s="85"/>
      <c r="Q160" s="86"/>
      <c r="R160" s="86"/>
      <c r="S160" s="88"/>
    </row>
    <row r="161" spans="1:19" ht="15" x14ac:dyDescent="0.25">
      <c r="A161" s="73"/>
      <c r="B161" s="67"/>
      <c r="C161" s="69" t="s">
        <v>22</v>
      </c>
      <c r="D161" s="82">
        <f t="shared" ref="D161:O161" si="26">SUM(D154:D160)</f>
        <v>479099</v>
      </c>
      <c r="E161" s="83">
        <f t="shared" si="26"/>
        <v>347599</v>
      </c>
      <c r="F161" s="83">
        <f t="shared" si="26"/>
        <v>131500</v>
      </c>
      <c r="G161" s="84">
        <f t="shared" si="26"/>
        <v>0</v>
      </c>
      <c r="H161" s="82">
        <v>527997</v>
      </c>
      <c r="I161" s="83">
        <v>396497</v>
      </c>
      <c r="J161" s="83">
        <v>131500</v>
      </c>
      <c r="K161" s="84">
        <v>0</v>
      </c>
      <c r="L161" s="82">
        <f t="shared" si="26"/>
        <v>24294</v>
      </c>
      <c r="M161" s="83">
        <f t="shared" si="26"/>
        <v>24294</v>
      </c>
      <c r="N161" s="83">
        <f t="shared" si="26"/>
        <v>0</v>
      </c>
      <c r="O161" s="84">
        <f t="shared" si="26"/>
        <v>0</v>
      </c>
      <c r="P161" s="82">
        <f t="shared" si="24"/>
        <v>552291</v>
      </c>
      <c r="Q161" s="83">
        <f t="shared" si="24"/>
        <v>420791</v>
      </c>
      <c r="R161" s="83">
        <f t="shared" si="24"/>
        <v>131500</v>
      </c>
      <c r="S161" s="618">
        <f t="shared" si="24"/>
        <v>0</v>
      </c>
    </row>
    <row r="162" spans="1:19" x14ac:dyDescent="0.25">
      <c r="A162" s="73"/>
      <c r="B162" s="67"/>
      <c r="C162" s="69"/>
      <c r="D162" s="90"/>
      <c r="E162" s="42"/>
      <c r="F162" s="42"/>
      <c r="G162" s="91"/>
      <c r="H162" s="63"/>
      <c r="I162" s="41"/>
      <c r="J162" s="41"/>
      <c r="K162" s="64"/>
      <c r="L162" s="90"/>
      <c r="M162" s="42"/>
      <c r="N162" s="42"/>
      <c r="O162" s="91"/>
      <c r="P162" s="63"/>
      <c r="Q162" s="41"/>
      <c r="R162" s="41"/>
      <c r="S162" s="66"/>
    </row>
    <row r="163" spans="1:19" x14ac:dyDescent="0.25">
      <c r="A163" s="73"/>
      <c r="B163" s="67"/>
      <c r="C163" s="62" t="s">
        <v>50</v>
      </c>
      <c r="D163" s="90"/>
      <c r="E163" s="42"/>
      <c r="F163" s="42"/>
      <c r="G163" s="91"/>
      <c r="H163" s="63"/>
      <c r="I163" s="41"/>
      <c r="J163" s="41"/>
      <c r="K163" s="64"/>
      <c r="L163" s="90"/>
      <c r="M163" s="42"/>
      <c r="N163" s="42"/>
      <c r="O163" s="91"/>
      <c r="P163" s="63"/>
      <c r="Q163" s="41"/>
      <c r="R163" s="41"/>
      <c r="S163" s="66"/>
    </row>
    <row r="164" spans="1:19" ht="15" x14ac:dyDescent="0.25">
      <c r="A164" s="73"/>
      <c r="B164" s="67"/>
      <c r="C164" s="62" t="s">
        <v>135</v>
      </c>
      <c r="D164" s="63">
        <v>1000</v>
      </c>
      <c r="E164" s="41">
        <v>1000</v>
      </c>
      <c r="F164" s="41">
        <v>0</v>
      </c>
      <c r="G164" s="66">
        <v>0</v>
      </c>
      <c r="H164" s="63">
        <v>1000</v>
      </c>
      <c r="I164" s="41">
        <v>1000</v>
      </c>
      <c r="J164" s="41">
        <v>0</v>
      </c>
      <c r="K164" s="64">
        <v>0</v>
      </c>
      <c r="L164" s="63"/>
      <c r="M164" s="41"/>
      <c r="N164" s="41"/>
      <c r="O164" s="66"/>
      <c r="P164" s="63">
        <f t="shared" si="24"/>
        <v>1000</v>
      </c>
      <c r="Q164" s="41">
        <f t="shared" si="24"/>
        <v>1000</v>
      </c>
      <c r="R164" s="41">
        <f t="shared" si="24"/>
        <v>0</v>
      </c>
      <c r="S164" s="66">
        <f t="shared" si="24"/>
        <v>0</v>
      </c>
    </row>
    <row r="165" spans="1:19" ht="15" x14ac:dyDescent="0.25">
      <c r="A165" s="60"/>
      <c r="B165" s="80"/>
      <c r="C165" s="62" t="s">
        <v>136</v>
      </c>
      <c r="D165" s="63">
        <v>50000</v>
      </c>
      <c r="E165" s="41"/>
      <c r="F165" s="41">
        <v>50000</v>
      </c>
      <c r="G165" s="64"/>
      <c r="H165" s="63">
        <v>50000</v>
      </c>
      <c r="I165" s="41">
        <v>0</v>
      </c>
      <c r="J165" s="41">
        <v>50000</v>
      </c>
      <c r="K165" s="64">
        <v>0</v>
      </c>
      <c r="L165" s="63"/>
      <c r="M165" s="41"/>
      <c r="N165" s="41"/>
      <c r="O165" s="64"/>
      <c r="P165" s="63">
        <f t="shared" si="24"/>
        <v>50000</v>
      </c>
      <c r="Q165" s="41">
        <f t="shared" si="24"/>
        <v>0</v>
      </c>
      <c r="R165" s="41">
        <f t="shared" si="24"/>
        <v>50000</v>
      </c>
      <c r="S165" s="66">
        <f t="shared" si="24"/>
        <v>0</v>
      </c>
    </row>
    <row r="166" spans="1:19" ht="15" x14ac:dyDescent="0.25">
      <c r="A166" s="73"/>
      <c r="B166" s="67"/>
      <c r="C166" s="62" t="s">
        <v>281</v>
      </c>
      <c r="D166" s="63">
        <v>2500</v>
      </c>
      <c r="E166" s="41">
        <v>2500</v>
      </c>
      <c r="F166" s="41">
        <v>0</v>
      </c>
      <c r="G166" s="64">
        <v>0</v>
      </c>
      <c r="H166" s="63">
        <v>2500</v>
      </c>
      <c r="I166" s="41">
        <v>2500</v>
      </c>
      <c r="J166" s="41">
        <v>0</v>
      </c>
      <c r="K166" s="64">
        <v>0</v>
      </c>
      <c r="L166" s="63"/>
      <c r="M166" s="41"/>
      <c r="N166" s="41"/>
      <c r="O166" s="64"/>
      <c r="P166" s="63">
        <f t="shared" si="24"/>
        <v>2500</v>
      </c>
      <c r="Q166" s="41">
        <f t="shared" si="24"/>
        <v>2500</v>
      </c>
      <c r="R166" s="41">
        <f t="shared" si="24"/>
        <v>0</v>
      </c>
      <c r="S166" s="66">
        <f t="shared" si="24"/>
        <v>0</v>
      </c>
    </row>
    <row r="167" spans="1:19" ht="15" x14ac:dyDescent="0.25">
      <c r="A167" s="73"/>
      <c r="B167" s="67"/>
      <c r="C167" s="79" t="s">
        <v>282</v>
      </c>
      <c r="D167" s="85">
        <v>5000</v>
      </c>
      <c r="E167" s="86"/>
      <c r="F167" s="86">
        <v>5000</v>
      </c>
      <c r="G167" s="87"/>
      <c r="H167" s="85">
        <v>5000</v>
      </c>
      <c r="I167" s="86">
        <v>0</v>
      </c>
      <c r="J167" s="86">
        <v>5000</v>
      </c>
      <c r="K167" s="87">
        <v>0</v>
      </c>
      <c r="L167" s="85"/>
      <c r="M167" s="86"/>
      <c r="N167" s="86"/>
      <c r="O167" s="87"/>
      <c r="P167" s="85">
        <f t="shared" si="24"/>
        <v>5000</v>
      </c>
      <c r="Q167" s="86">
        <f t="shared" si="24"/>
        <v>0</v>
      </c>
      <c r="R167" s="86">
        <f t="shared" si="24"/>
        <v>5000</v>
      </c>
      <c r="S167" s="88">
        <f t="shared" si="24"/>
        <v>0</v>
      </c>
    </row>
    <row r="168" spans="1:19" ht="15" x14ac:dyDescent="0.25">
      <c r="A168" s="74"/>
      <c r="B168" s="67"/>
      <c r="C168" s="79" t="s">
        <v>283</v>
      </c>
      <c r="D168" s="85">
        <v>1000</v>
      </c>
      <c r="E168" s="86">
        <v>0</v>
      </c>
      <c r="F168" s="86">
        <v>1000</v>
      </c>
      <c r="G168" s="87">
        <v>0</v>
      </c>
      <c r="H168" s="85">
        <v>1000</v>
      </c>
      <c r="I168" s="86">
        <v>0</v>
      </c>
      <c r="J168" s="86">
        <v>1000</v>
      </c>
      <c r="K168" s="87">
        <v>0</v>
      </c>
      <c r="L168" s="85"/>
      <c r="M168" s="86"/>
      <c r="N168" s="86"/>
      <c r="O168" s="87"/>
      <c r="P168" s="85">
        <f t="shared" si="24"/>
        <v>1000</v>
      </c>
      <c r="Q168" s="86">
        <f t="shared" si="24"/>
        <v>0</v>
      </c>
      <c r="R168" s="86">
        <f t="shared" si="24"/>
        <v>1000</v>
      </c>
      <c r="S168" s="88">
        <f t="shared" si="24"/>
        <v>0</v>
      </c>
    </row>
    <row r="169" spans="1:19" ht="15" x14ac:dyDescent="0.25">
      <c r="A169" s="73"/>
      <c r="B169" s="67"/>
      <c r="C169" s="79" t="s">
        <v>284</v>
      </c>
      <c r="D169" s="85">
        <v>600</v>
      </c>
      <c r="E169" s="86">
        <v>0</v>
      </c>
      <c r="F169" s="86">
        <v>600</v>
      </c>
      <c r="G169" s="87">
        <v>0</v>
      </c>
      <c r="H169" s="85">
        <v>600</v>
      </c>
      <c r="I169" s="86">
        <v>0</v>
      </c>
      <c r="J169" s="86">
        <v>600</v>
      </c>
      <c r="K169" s="87">
        <v>0</v>
      </c>
      <c r="L169" s="85"/>
      <c r="M169" s="86"/>
      <c r="N169" s="86"/>
      <c r="O169" s="87"/>
      <c r="P169" s="85">
        <f t="shared" si="24"/>
        <v>600</v>
      </c>
      <c r="Q169" s="86">
        <f t="shared" si="24"/>
        <v>0</v>
      </c>
      <c r="R169" s="86">
        <f t="shared" si="24"/>
        <v>600</v>
      </c>
      <c r="S169" s="88">
        <f t="shared" si="24"/>
        <v>0</v>
      </c>
    </row>
    <row r="170" spans="1:19" ht="15" x14ac:dyDescent="0.25">
      <c r="A170" s="73"/>
      <c r="B170" s="67"/>
      <c r="C170" s="79" t="s">
        <v>285</v>
      </c>
      <c r="D170" s="85">
        <v>1600</v>
      </c>
      <c r="E170" s="86"/>
      <c r="F170" s="86">
        <v>1600</v>
      </c>
      <c r="G170" s="87"/>
      <c r="H170" s="85">
        <v>1600</v>
      </c>
      <c r="I170" s="86">
        <v>0</v>
      </c>
      <c r="J170" s="86">
        <v>1600</v>
      </c>
      <c r="K170" s="87">
        <v>0</v>
      </c>
      <c r="L170" s="85"/>
      <c r="M170" s="86"/>
      <c r="N170" s="86"/>
      <c r="O170" s="87"/>
      <c r="P170" s="85">
        <f t="shared" si="24"/>
        <v>1600</v>
      </c>
      <c r="Q170" s="86">
        <f t="shared" si="24"/>
        <v>0</v>
      </c>
      <c r="R170" s="86">
        <f t="shared" si="24"/>
        <v>1600</v>
      </c>
      <c r="S170" s="88">
        <f t="shared" si="24"/>
        <v>0</v>
      </c>
    </row>
    <row r="171" spans="1:19" ht="15" x14ac:dyDescent="0.25">
      <c r="A171" s="60"/>
      <c r="B171" s="80"/>
      <c r="C171" s="62" t="s">
        <v>286</v>
      </c>
      <c r="D171" s="63">
        <v>1000</v>
      </c>
      <c r="E171" s="41">
        <v>0</v>
      </c>
      <c r="F171" s="41">
        <v>1000</v>
      </c>
      <c r="G171" s="64">
        <v>0</v>
      </c>
      <c r="H171" s="63">
        <v>1000</v>
      </c>
      <c r="I171" s="41">
        <v>0</v>
      </c>
      <c r="J171" s="41">
        <v>1000</v>
      </c>
      <c r="K171" s="64">
        <v>0</v>
      </c>
      <c r="L171" s="63"/>
      <c r="M171" s="41"/>
      <c r="N171" s="41"/>
      <c r="O171" s="64"/>
      <c r="P171" s="63">
        <f t="shared" si="24"/>
        <v>1000</v>
      </c>
      <c r="Q171" s="41">
        <f t="shared" si="24"/>
        <v>0</v>
      </c>
      <c r="R171" s="41">
        <f t="shared" si="24"/>
        <v>1000</v>
      </c>
      <c r="S171" s="66">
        <f t="shared" si="24"/>
        <v>0</v>
      </c>
    </row>
    <row r="172" spans="1:19" ht="15" x14ac:dyDescent="0.25">
      <c r="A172" s="73"/>
      <c r="B172" s="67"/>
      <c r="C172" s="94" t="s">
        <v>287</v>
      </c>
      <c r="D172" s="85">
        <v>1500</v>
      </c>
      <c r="E172" s="86">
        <v>1500</v>
      </c>
      <c r="F172" s="86">
        <v>0</v>
      </c>
      <c r="G172" s="87">
        <v>0</v>
      </c>
      <c r="H172" s="85">
        <v>1500</v>
      </c>
      <c r="I172" s="86">
        <v>1500</v>
      </c>
      <c r="J172" s="86">
        <v>0</v>
      </c>
      <c r="K172" s="87">
        <v>0</v>
      </c>
      <c r="L172" s="85"/>
      <c r="M172" s="86"/>
      <c r="N172" s="86"/>
      <c r="O172" s="87"/>
      <c r="P172" s="85">
        <f t="shared" si="24"/>
        <v>1500</v>
      </c>
      <c r="Q172" s="86">
        <f t="shared" si="24"/>
        <v>1500</v>
      </c>
      <c r="R172" s="86">
        <f t="shared" si="24"/>
        <v>0</v>
      </c>
      <c r="S172" s="88">
        <f t="shared" si="24"/>
        <v>0</v>
      </c>
    </row>
    <row r="173" spans="1:19" ht="30" x14ac:dyDescent="0.25">
      <c r="A173" s="73"/>
      <c r="B173" s="67"/>
      <c r="C173" s="89" t="s">
        <v>288</v>
      </c>
      <c r="D173" s="85">
        <v>6000</v>
      </c>
      <c r="E173" s="86">
        <v>6000</v>
      </c>
      <c r="F173" s="86">
        <v>0</v>
      </c>
      <c r="G173" s="87">
        <v>0</v>
      </c>
      <c r="H173" s="85">
        <v>6000</v>
      </c>
      <c r="I173" s="86">
        <v>6000</v>
      </c>
      <c r="J173" s="86">
        <v>0</v>
      </c>
      <c r="K173" s="87">
        <v>0</v>
      </c>
      <c r="L173" s="85"/>
      <c r="M173" s="86"/>
      <c r="N173" s="86"/>
      <c r="O173" s="87"/>
      <c r="P173" s="85">
        <f t="shared" si="24"/>
        <v>6000</v>
      </c>
      <c r="Q173" s="86">
        <f t="shared" si="24"/>
        <v>6000</v>
      </c>
      <c r="R173" s="86">
        <f t="shared" si="24"/>
        <v>0</v>
      </c>
      <c r="S173" s="88">
        <f t="shared" si="24"/>
        <v>0</v>
      </c>
    </row>
    <row r="174" spans="1:19" ht="30" x14ac:dyDescent="0.25">
      <c r="A174" s="73"/>
      <c r="B174" s="67"/>
      <c r="C174" s="89" t="s">
        <v>977</v>
      </c>
      <c r="D174" s="85"/>
      <c r="E174" s="86"/>
      <c r="F174" s="86"/>
      <c r="G174" s="87"/>
      <c r="H174" s="85">
        <v>1000</v>
      </c>
      <c r="I174" s="86">
        <v>1000</v>
      </c>
      <c r="J174" s="86">
        <v>0</v>
      </c>
      <c r="K174" s="87">
        <v>0</v>
      </c>
      <c r="L174" s="85"/>
      <c r="M174" s="86"/>
      <c r="N174" s="86"/>
      <c r="O174" s="87"/>
      <c r="P174" s="85">
        <f t="shared" si="24"/>
        <v>1000</v>
      </c>
      <c r="Q174" s="86">
        <f t="shared" si="24"/>
        <v>1000</v>
      </c>
      <c r="R174" s="86">
        <f t="shared" si="24"/>
        <v>0</v>
      </c>
      <c r="S174" s="88">
        <f t="shared" si="24"/>
        <v>0</v>
      </c>
    </row>
    <row r="175" spans="1:19" ht="15" x14ac:dyDescent="0.25">
      <c r="A175" s="73"/>
      <c r="B175" s="67"/>
      <c r="C175" s="89"/>
      <c r="D175" s="85"/>
      <c r="E175" s="86"/>
      <c r="F175" s="86"/>
      <c r="G175" s="87"/>
      <c r="H175" s="85"/>
      <c r="I175" s="86"/>
      <c r="J175" s="86"/>
      <c r="K175" s="87"/>
      <c r="L175" s="85"/>
      <c r="M175" s="86"/>
      <c r="N175" s="86"/>
      <c r="O175" s="87"/>
      <c r="P175" s="85"/>
      <c r="Q175" s="86"/>
      <c r="R175" s="86"/>
      <c r="S175" s="88"/>
    </row>
    <row r="176" spans="1:19" ht="15" x14ac:dyDescent="0.25">
      <c r="A176" s="73"/>
      <c r="B176" s="67"/>
      <c r="C176" s="69" t="s">
        <v>22</v>
      </c>
      <c r="D176" s="82">
        <f t="shared" ref="D176:O176" si="27">SUM(D164:D175)</f>
        <v>70200</v>
      </c>
      <c r="E176" s="83">
        <f t="shared" si="27"/>
        <v>11000</v>
      </c>
      <c r="F176" s="83">
        <f t="shared" si="27"/>
        <v>59200</v>
      </c>
      <c r="G176" s="84">
        <f t="shared" si="27"/>
        <v>0</v>
      </c>
      <c r="H176" s="82">
        <v>71200</v>
      </c>
      <c r="I176" s="83">
        <v>12000</v>
      </c>
      <c r="J176" s="83">
        <v>59200</v>
      </c>
      <c r="K176" s="84">
        <v>0</v>
      </c>
      <c r="L176" s="82">
        <f t="shared" si="27"/>
        <v>0</v>
      </c>
      <c r="M176" s="83">
        <f t="shared" si="27"/>
        <v>0</v>
      </c>
      <c r="N176" s="83">
        <f t="shared" si="27"/>
        <v>0</v>
      </c>
      <c r="O176" s="84">
        <f t="shared" si="27"/>
        <v>0</v>
      </c>
      <c r="P176" s="82">
        <f t="shared" si="24"/>
        <v>71200</v>
      </c>
      <c r="Q176" s="83">
        <f t="shared" si="24"/>
        <v>12000</v>
      </c>
      <c r="R176" s="83">
        <f t="shared" si="24"/>
        <v>59200</v>
      </c>
      <c r="S176" s="618">
        <f t="shared" si="24"/>
        <v>0</v>
      </c>
    </row>
    <row r="177" spans="1:19" x14ac:dyDescent="0.25">
      <c r="A177" s="73"/>
      <c r="B177" s="67"/>
      <c r="C177" s="81"/>
      <c r="D177" s="90"/>
      <c r="E177" s="42"/>
      <c r="F177" s="42"/>
      <c r="G177" s="91"/>
      <c r="H177" s="63"/>
      <c r="I177" s="41"/>
      <c r="J177" s="41"/>
      <c r="K177" s="64"/>
      <c r="L177" s="90"/>
      <c r="M177" s="42"/>
      <c r="N177" s="42"/>
      <c r="O177" s="91"/>
      <c r="P177" s="63"/>
      <c r="Q177" s="41"/>
      <c r="R177" s="41"/>
      <c r="S177" s="66"/>
    </row>
    <row r="178" spans="1:19" x14ac:dyDescent="0.25">
      <c r="A178" s="60"/>
      <c r="B178" s="93"/>
      <c r="C178" s="62" t="s">
        <v>61</v>
      </c>
      <c r="D178" s="90"/>
      <c r="E178" s="42"/>
      <c r="F178" s="42"/>
      <c r="G178" s="91"/>
      <c r="H178" s="63"/>
      <c r="I178" s="41"/>
      <c r="J178" s="41"/>
      <c r="K178" s="64"/>
      <c r="L178" s="90"/>
      <c r="M178" s="42"/>
      <c r="N178" s="42"/>
      <c r="O178" s="91"/>
      <c r="P178" s="63"/>
      <c r="Q178" s="41"/>
      <c r="R178" s="41"/>
      <c r="S178" s="66"/>
    </row>
    <row r="179" spans="1:19" ht="15" x14ac:dyDescent="0.25">
      <c r="A179" s="60"/>
      <c r="B179" s="93"/>
      <c r="C179" s="79"/>
      <c r="D179" s="85"/>
      <c r="E179" s="86"/>
      <c r="F179" s="86"/>
      <c r="G179" s="87"/>
      <c r="H179" s="85"/>
      <c r="I179" s="86"/>
      <c r="J179" s="86"/>
      <c r="K179" s="87"/>
      <c r="L179" s="85"/>
      <c r="M179" s="86"/>
      <c r="N179" s="86"/>
      <c r="O179" s="87"/>
      <c r="P179" s="85"/>
      <c r="Q179" s="86"/>
      <c r="R179" s="86"/>
      <c r="S179" s="88"/>
    </row>
    <row r="180" spans="1:19" ht="15" x14ac:dyDescent="0.25">
      <c r="A180" s="60"/>
      <c r="B180" s="67"/>
      <c r="C180" s="69" t="s">
        <v>22</v>
      </c>
      <c r="D180" s="82">
        <f t="shared" ref="D180:G180" si="28">SUM(D179:D179)</f>
        <v>0</v>
      </c>
      <c r="E180" s="83">
        <f t="shared" si="28"/>
        <v>0</v>
      </c>
      <c r="F180" s="83">
        <f t="shared" si="28"/>
        <v>0</v>
      </c>
      <c r="G180" s="84">
        <f t="shared" si="28"/>
        <v>0</v>
      </c>
      <c r="H180" s="82">
        <v>0</v>
      </c>
      <c r="I180" s="83">
        <v>0</v>
      </c>
      <c r="J180" s="83">
        <v>0</v>
      </c>
      <c r="K180" s="84">
        <v>0</v>
      </c>
      <c r="L180" s="82">
        <f t="shared" ref="L180:O180" si="29">SUM(L179:L179)</f>
        <v>0</v>
      </c>
      <c r="M180" s="83">
        <f t="shared" si="29"/>
        <v>0</v>
      </c>
      <c r="N180" s="83">
        <f t="shared" si="29"/>
        <v>0</v>
      </c>
      <c r="O180" s="84">
        <f t="shared" si="29"/>
        <v>0</v>
      </c>
      <c r="P180" s="82">
        <f t="shared" si="24"/>
        <v>0</v>
      </c>
      <c r="Q180" s="83">
        <f t="shared" si="24"/>
        <v>0</v>
      </c>
      <c r="R180" s="83">
        <f t="shared" si="24"/>
        <v>0</v>
      </c>
      <c r="S180" s="618">
        <f t="shared" si="24"/>
        <v>0</v>
      </c>
    </row>
    <row r="181" spans="1:19" x14ac:dyDescent="0.25">
      <c r="A181" s="60"/>
      <c r="B181" s="67"/>
      <c r="C181" s="81"/>
      <c r="D181" s="90"/>
      <c r="E181" s="42"/>
      <c r="F181" s="42"/>
      <c r="G181" s="91"/>
      <c r="H181" s="63"/>
      <c r="I181" s="41"/>
      <c r="J181" s="41"/>
      <c r="K181" s="64"/>
      <c r="L181" s="90"/>
      <c r="M181" s="42"/>
      <c r="N181" s="42"/>
      <c r="O181" s="91"/>
      <c r="P181" s="63"/>
      <c r="Q181" s="41"/>
      <c r="R181" s="41"/>
      <c r="S181" s="66"/>
    </row>
    <row r="182" spans="1:19" ht="15" x14ac:dyDescent="0.25">
      <c r="A182" s="60"/>
      <c r="B182" s="93"/>
      <c r="C182" s="62" t="s">
        <v>53</v>
      </c>
      <c r="D182" s="63">
        <v>5000</v>
      </c>
      <c r="E182" s="41">
        <v>5000</v>
      </c>
      <c r="F182" s="41">
        <v>0</v>
      </c>
      <c r="G182" s="64">
        <v>0</v>
      </c>
      <c r="H182" s="63">
        <v>5000</v>
      </c>
      <c r="I182" s="41">
        <v>5000</v>
      </c>
      <c r="J182" s="41">
        <v>0</v>
      </c>
      <c r="K182" s="64">
        <v>0</v>
      </c>
      <c r="L182" s="63"/>
      <c r="M182" s="41"/>
      <c r="N182" s="41"/>
      <c r="O182" s="64"/>
      <c r="P182" s="63">
        <f t="shared" si="24"/>
        <v>5000</v>
      </c>
      <c r="Q182" s="41">
        <f t="shared" si="24"/>
        <v>5000</v>
      </c>
      <c r="R182" s="41">
        <f t="shared" si="24"/>
        <v>0</v>
      </c>
      <c r="S182" s="66">
        <f t="shared" si="24"/>
        <v>0</v>
      </c>
    </row>
    <row r="183" spans="1:19" ht="15" x14ac:dyDescent="0.25">
      <c r="A183" s="60"/>
      <c r="B183" s="93"/>
      <c r="C183" s="62"/>
      <c r="D183" s="63"/>
      <c r="E183" s="41"/>
      <c r="F183" s="41"/>
      <c r="G183" s="64"/>
      <c r="H183" s="63"/>
      <c r="I183" s="41"/>
      <c r="J183" s="41"/>
      <c r="K183" s="64"/>
      <c r="L183" s="63"/>
      <c r="M183" s="41"/>
      <c r="N183" s="41"/>
      <c r="O183" s="64"/>
      <c r="P183" s="63"/>
      <c r="Q183" s="41"/>
      <c r="R183" s="41"/>
      <c r="S183" s="66"/>
    </row>
    <row r="184" spans="1:19" ht="15" x14ac:dyDescent="0.25">
      <c r="A184" s="60"/>
      <c r="B184" s="67"/>
      <c r="C184" s="62" t="s">
        <v>153</v>
      </c>
      <c r="D184" s="63"/>
      <c r="E184" s="41"/>
      <c r="F184" s="41"/>
      <c r="G184" s="64"/>
      <c r="H184" s="63"/>
      <c r="I184" s="41"/>
      <c r="J184" s="41"/>
      <c r="K184" s="64"/>
      <c r="L184" s="63"/>
      <c r="M184" s="41"/>
      <c r="N184" s="41"/>
      <c r="O184" s="64"/>
      <c r="P184" s="63"/>
      <c r="Q184" s="41"/>
      <c r="R184" s="41"/>
      <c r="S184" s="66"/>
    </row>
    <row r="185" spans="1:19" ht="15" x14ac:dyDescent="0.25">
      <c r="A185" s="60"/>
      <c r="B185" s="67"/>
      <c r="C185" s="62" t="s">
        <v>938</v>
      </c>
      <c r="D185" s="63">
        <v>1004</v>
      </c>
      <c r="E185" s="41">
        <v>1004</v>
      </c>
      <c r="F185" s="41">
        <v>0</v>
      </c>
      <c r="G185" s="64">
        <v>0</v>
      </c>
      <c r="H185" s="63">
        <v>1662</v>
      </c>
      <c r="I185" s="41">
        <v>1662</v>
      </c>
      <c r="J185" s="41">
        <v>0</v>
      </c>
      <c r="K185" s="64">
        <v>0</v>
      </c>
      <c r="L185" s="63"/>
      <c r="M185" s="41"/>
      <c r="N185" s="41"/>
      <c r="O185" s="64"/>
      <c r="P185" s="63">
        <f t="shared" si="24"/>
        <v>1662</v>
      </c>
      <c r="Q185" s="41">
        <f t="shared" si="24"/>
        <v>1662</v>
      </c>
      <c r="R185" s="41">
        <f t="shared" si="24"/>
        <v>0</v>
      </c>
      <c r="S185" s="66">
        <f t="shared" si="24"/>
        <v>0</v>
      </c>
    </row>
    <row r="186" spans="1:19" ht="15" x14ac:dyDescent="0.25">
      <c r="A186" s="60"/>
      <c r="B186" s="67"/>
      <c r="C186" s="62"/>
      <c r="D186" s="63"/>
      <c r="E186" s="41"/>
      <c r="F186" s="41"/>
      <c r="G186" s="64"/>
      <c r="H186" s="63"/>
      <c r="I186" s="41"/>
      <c r="J186" s="41"/>
      <c r="K186" s="64"/>
      <c r="L186" s="63"/>
      <c r="M186" s="41"/>
      <c r="N186" s="41"/>
      <c r="O186" s="64"/>
      <c r="P186" s="63"/>
      <c r="Q186" s="41"/>
      <c r="R186" s="41"/>
      <c r="S186" s="66"/>
    </row>
    <row r="187" spans="1:19" ht="30" x14ac:dyDescent="0.25">
      <c r="A187" s="60"/>
      <c r="B187" s="67"/>
      <c r="C187" s="79" t="s">
        <v>201</v>
      </c>
      <c r="D187" s="63">
        <v>0</v>
      </c>
      <c r="E187" s="41">
        <v>0</v>
      </c>
      <c r="F187" s="41">
        <v>0</v>
      </c>
      <c r="G187" s="64">
        <v>0</v>
      </c>
      <c r="H187" s="63">
        <v>0</v>
      </c>
      <c r="I187" s="41">
        <v>0</v>
      </c>
      <c r="J187" s="41">
        <v>0</v>
      </c>
      <c r="K187" s="64">
        <v>0</v>
      </c>
      <c r="L187" s="63">
        <v>0</v>
      </c>
      <c r="M187" s="41">
        <v>0</v>
      </c>
      <c r="N187" s="41">
        <v>0</v>
      </c>
      <c r="O187" s="64">
        <v>0</v>
      </c>
      <c r="P187" s="63">
        <f t="shared" si="24"/>
        <v>0</v>
      </c>
      <c r="Q187" s="41">
        <f t="shared" si="24"/>
        <v>0</v>
      </c>
      <c r="R187" s="41">
        <f t="shared" si="24"/>
        <v>0</v>
      </c>
      <c r="S187" s="66">
        <f t="shared" si="24"/>
        <v>0</v>
      </c>
    </row>
    <row r="188" spans="1:19" ht="15" x14ac:dyDescent="0.25">
      <c r="A188" s="60"/>
      <c r="B188" s="67"/>
      <c r="C188" s="62"/>
      <c r="D188" s="63"/>
      <c r="E188" s="41"/>
      <c r="F188" s="41"/>
      <c r="G188" s="64"/>
      <c r="H188" s="63"/>
      <c r="I188" s="41"/>
      <c r="J188" s="41"/>
      <c r="K188" s="64"/>
      <c r="L188" s="63"/>
      <c r="M188" s="41"/>
      <c r="N188" s="41"/>
      <c r="O188" s="64"/>
      <c r="P188" s="63"/>
      <c r="Q188" s="41"/>
      <c r="R188" s="41"/>
      <c r="S188" s="66"/>
    </row>
    <row r="189" spans="1:19" ht="15" x14ac:dyDescent="0.25">
      <c r="A189" s="60"/>
      <c r="B189" s="67"/>
      <c r="C189" s="62" t="s">
        <v>204</v>
      </c>
      <c r="D189" s="63">
        <v>16505</v>
      </c>
      <c r="E189" s="41">
        <v>16505</v>
      </c>
      <c r="F189" s="41">
        <v>0</v>
      </c>
      <c r="G189" s="64">
        <v>0</v>
      </c>
      <c r="H189" s="63">
        <v>16505</v>
      </c>
      <c r="I189" s="41">
        <v>16505</v>
      </c>
      <c r="J189" s="41">
        <v>0</v>
      </c>
      <c r="K189" s="64">
        <v>0</v>
      </c>
      <c r="L189" s="63"/>
      <c r="M189" s="41"/>
      <c r="N189" s="41"/>
      <c r="O189" s="64"/>
      <c r="P189" s="63">
        <f t="shared" si="24"/>
        <v>16505</v>
      </c>
      <c r="Q189" s="41">
        <f t="shared" si="24"/>
        <v>16505</v>
      </c>
      <c r="R189" s="41">
        <f t="shared" si="24"/>
        <v>0</v>
      </c>
      <c r="S189" s="66">
        <f t="shared" si="24"/>
        <v>0</v>
      </c>
    </row>
    <row r="190" spans="1:19" ht="15" x14ac:dyDescent="0.25">
      <c r="A190" s="60"/>
      <c r="B190" s="67"/>
      <c r="C190" s="62"/>
      <c r="D190" s="63"/>
      <c r="E190" s="41"/>
      <c r="F190" s="41"/>
      <c r="G190" s="64"/>
      <c r="H190" s="63"/>
      <c r="I190" s="41"/>
      <c r="J190" s="41"/>
      <c r="K190" s="64"/>
      <c r="L190" s="63"/>
      <c r="M190" s="41"/>
      <c r="N190" s="41"/>
      <c r="O190" s="64"/>
      <c r="P190" s="63"/>
      <c r="Q190" s="41"/>
      <c r="R190" s="41"/>
      <c r="S190" s="66"/>
    </row>
    <row r="191" spans="1:19" ht="15" x14ac:dyDescent="0.25">
      <c r="A191" s="60"/>
      <c r="B191" s="67"/>
      <c r="C191" s="62"/>
      <c r="D191" s="63"/>
      <c r="E191" s="41"/>
      <c r="F191" s="41"/>
      <c r="G191" s="64"/>
      <c r="H191" s="63"/>
      <c r="I191" s="41"/>
      <c r="J191" s="41"/>
      <c r="K191" s="64"/>
      <c r="L191" s="63"/>
      <c r="M191" s="41"/>
      <c r="N191" s="41"/>
      <c r="O191" s="64"/>
      <c r="P191" s="63"/>
      <c r="Q191" s="41"/>
      <c r="R191" s="41"/>
      <c r="S191" s="66"/>
    </row>
    <row r="192" spans="1:19" ht="15" x14ac:dyDescent="0.25">
      <c r="A192" s="60"/>
      <c r="B192" s="67"/>
      <c r="C192" s="81" t="s">
        <v>52</v>
      </c>
      <c r="D192" s="82">
        <f t="shared" ref="D192:O192" si="30">D161+D176+D180+D182+D185+D189</f>
        <v>571808</v>
      </c>
      <c r="E192" s="83">
        <f t="shared" si="30"/>
        <v>381108</v>
      </c>
      <c r="F192" s="83">
        <f t="shared" si="30"/>
        <v>190700</v>
      </c>
      <c r="G192" s="84">
        <f t="shared" si="30"/>
        <v>0</v>
      </c>
      <c r="H192" s="82">
        <v>622364</v>
      </c>
      <c r="I192" s="83">
        <v>431664</v>
      </c>
      <c r="J192" s="83">
        <v>190700</v>
      </c>
      <c r="K192" s="84">
        <v>0</v>
      </c>
      <c r="L192" s="82">
        <f t="shared" si="30"/>
        <v>24294</v>
      </c>
      <c r="M192" s="83">
        <f t="shared" si="30"/>
        <v>24294</v>
      </c>
      <c r="N192" s="83">
        <f t="shared" si="30"/>
        <v>0</v>
      </c>
      <c r="O192" s="84">
        <f t="shared" si="30"/>
        <v>0</v>
      </c>
      <c r="P192" s="82">
        <f t="shared" si="24"/>
        <v>646658</v>
      </c>
      <c r="Q192" s="83">
        <f t="shared" si="24"/>
        <v>455958</v>
      </c>
      <c r="R192" s="83">
        <f t="shared" si="24"/>
        <v>190700</v>
      </c>
      <c r="S192" s="618">
        <f t="shared" si="24"/>
        <v>0</v>
      </c>
    </row>
    <row r="193" spans="1:19" x14ac:dyDescent="0.25">
      <c r="A193" s="73"/>
      <c r="B193" s="67"/>
      <c r="C193" s="81"/>
      <c r="D193" s="90"/>
      <c r="E193" s="42"/>
      <c r="F193" s="42"/>
      <c r="G193" s="91"/>
      <c r="H193" s="63"/>
      <c r="I193" s="41"/>
      <c r="J193" s="41"/>
      <c r="K193" s="64"/>
      <c r="L193" s="90"/>
      <c r="M193" s="42"/>
      <c r="N193" s="42"/>
      <c r="O193" s="91"/>
      <c r="P193" s="63"/>
      <c r="Q193" s="41"/>
      <c r="R193" s="41"/>
      <c r="S193" s="66"/>
    </row>
    <row r="194" spans="1:19" x14ac:dyDescent="0.25">
      <c r="A194" s="73"/>
      <c r="B194" s="67" t="s">
        <v>17</v>
      </c>
      <c r="C194" s="62" t="s">
        <v>46</v>
      </c>
      <c r="D194" s="90"/>
      <c r="E194" s="42"/>
      <c r="F194" s="42"/>
      <c r="G194" s="91"/>
      <c r="H194" s="63"/>
      <c r="I194" s="41"/>
      <c r="J194" s="41"/>
      <c r="K194" s="64"/>
      <c r="L194" s="90"/>
      <c r="M194" s="42"/>
      <c r="N194" s="42"/>
      <c r="O194" s="91"/>
      <c r="P194" s="63"/>
      <c r="Q194" s="41"/>
      <c r="R194" s="41"/>
      <c r="S194" s="66"/>
    </row>
    <row r="195" spans="1:19" ht="15" x14ac:dyDescent="0.25">
      <c r="A195" s="73"/>
      <c r="B195" s="67"/>
      <c r="C195" s="89" t="s">
        <v>245</v>
      </c>
      <c r="D195" s="63">
        <v>4400</v>
      </c>
      <c r="E195" s="41">
        <v>4400</v>
      </c>
      <c r="F195" s="41">
        <v>0</v>
      </c>
      <c r="G195" s="64">
        <v>0</v>
      </c>
      <c r="H195" s="63">
        <v>4400</v>
      </c>
      <c r="I195" s="41">
        <v>4400</v>
      </c>
      <c r="J195" s="41">
        <v>0</v>
      </c>
      <c r="K195" s="64">
        <v>0</v>
      </c>
      <c r="L195" s="63"/>
      <c r="M195" s="41"/>
      <c r="N195" s="41"/>
      <c r="O195" s="64"/>
      <c r="P195" s="63">
        <f t="shared" si="24"/>
        <v>4400</v>
      </c>
      <c r="Q195" s="41">
        <f t="shared" si="24"/>
        <v>4400</v>
      </c>
      <c r="R195" s="41">
        <f t="shared" si="24"/>
        <v>0</v>
      </c>
      <c r="S195" s="66">
        <f t="shared" si="24"/>
        <v>0</v>
      </c>
    </row>
    <row r="196" spans="1:19" ht="15" x14ac:dyDescent="0.25">
      <c r="A196" s="73"/>
      <c r="B196" s="67"/>
      <c r="C196" s="79" t="s">
        <v>278</v>
      </c>
      <c r="D196" s="63">
        <v>15000</v>
      </c>
      <c r="E196" s="41">
        <v>15000</v>
      </c>
      <c r="F196" s="41">
        <v>0</v>
      </c>
      <c r="G196" s="64">
        <v>0</v>
      </c>
      <c r="H196" s="63">
        <v>15000</v>
      </c>
      <c r="I196" s="41">
        <v>15000</v>
      </c>
      <c r="J196" s="41">
        <v>0</v>
      </c>
      <c r="K196" s="64">
        <v>0</v>
      </c>
      <c r="L196" s="63"/>
      <c r="M196" s="41"/>
      <c r="N196" s="41"/>
      <c r="O196" s="64"/>
      <c r="P196" s="63">
        <f t="shared" si="24"/>
        <v>15000</v>
      </c>
      <c r="Q196" s="41">
        <f t="shared" si="24"/>
        <v>15000</v>
      </c>
      <c r="R196" s="41">
        <f t="shared" si="24"/>
        <v>0</v>
      </c>
      <c r="S196" s="66">
        <f t="shared" si="24"/>
        <v>0</v>
      </c>
    </row>
    <row r="197" spans="1:19" ht="15" x14ac:dyDescent="0.25">
      <c r="A197" s="73"/>
      <c r="B197" s="67"/>
      <c r="C197" s="79" t="s">
        <v>279</v>
      </c>
      <c r="D197" s="63">
        <v>2200</v>
      </c>
      <c r="E197" s="41">
        <v>0</v>
      </c>
      <c r="F197" s="41">
        <v>2200</v>
      </c>
      <c r="G197" s="64">
        <v>0</v>
      </c>
      <c r="H197" s="63">
        <v>0</v>
      </c>
      <c r="I197" s="41">
        <v>0</v>
      </c>
      <c r="J197" s="41">
        <v>0</v>
      </c>
      <c r="K197" s="64">
        <v>0</v>
      </c>
      <c r="L197" s="63"/>
      <c r="M197" s="41"/>
      <c r="N197" s="41"/>
      <c r="O197" s="64"/>
      <c r="P197" s="63">
        <f t="shared" si="24"/>
        <v>0</v>
      </c>
      <c r="Q197" s="41">
        <f t="shared" si="24"/>
        <v>0</v>
      </c>
      <c r="R197" s="41">
        <f t="shared" si="24"/>
        <v>0</v>
      </c>
      <c r="S197" s="66">
        <f t="shared" si="24"/>
        <v>0</v>
      </c>
    </row>
    <row r="198" spans="1:19" ht="30" x14ac:dyDescent="0.25">
      <c r="A198" s="73"/>
      <c r="B198" s="67"/>
      <c r="C198" s="79" t="s">
        <v>895</v>
      </c>
      <c r="D198" s="85">
        <v>47700</v>
      </c>
      <c r="E198" s="86">
        <v>47700</v>
      </c>
      <c r="F198" s="86">
        <v>0</v>
      </c>
      <c r="G198" s="87">
        <v>0</v>
      </c>
      <c r="H198" s="85">
        <v>47700</v>
      </c>
      <c r="I198" s="86">
        <v>47700</v>
      </c>
      <c r="J198" s="86">
        <v>0</v>
      </c>
      <c r="K198" s="87">
        <v>0</v>
      </c>
      <c r="L198" s="85">
        <v>100</v>
      </c>
      <c r="M198" s="86">
        <v>100</v>
      </c>
      <c r="N198" s="86">
        <v>0</v>
      </c>
      <c r="O198" s="87">
        <v>0</v>
      </c>
      <c r="P198" s="85">
        <f t="shared" si="24"/>
        <v>47800</v>
      </c>
      <c r="Q198" s="86">
        <f t="shared" si="24"/>
        <v>47800</v>
      </c>
      <c r="R198" s="86">
        <f t="shared" si="24"/>
        <v>0</v>
      </c>
      <c r="S198" s="88">
        <f t="shared" si="24"/>
        <v>0</v>
      </c>
    </row>
    <row r="199" spans="1:19" ht="15" x14ac:dyDescent="0.25">
      <c r="A199" s="73"/>
      <c r="B199" s="67"/>
      <c r="C199" s="79" t="s">
        <v>896</v>
      </c>
      <c r="D199" s="85">
        <v>60921</v>
      </c>
      <c r="E199" s="86">
        <v>60921</v>
      </c>
      <c r="F199" s="86">
        <v>0</v>
      </c>
      <c r="G199" s="87">
        <v>0</v>
      </c>
      <c r="H199" s="85">
        <v>60921</v>
      </c>
      <c r="I199" s="86">
        <v>60921</v>
      </c>
      <c r="J199" s="86">
        <v>0</v>
      </c>
      <c r="K199" s="87">
        <v>0</v>
      </c>
      <c r="L199" s="85">
        <v>1087</v>
      </c>
      <c r="M199" s="86">
        <v>1087</v>
      </c>
      <c r="N199" s="86">
        <v>0</v>
      </c>
      <c r="O199" s="87">
        <v>0</v>
      </c>
      <c r="P199" s="85">
        <f t="shared" si="24"/>
        <v>62008</v>
      </c>
      <c r="Q199" s="86">
        <f t="shared" si="24"/>
        <v>62008</v>
      </c>
      <c r="R199" s="86">
        <f t="shared" si="24"/>
        <v>0</v>
      </c>
      <c r="S199" s="88">
        <f t="shared" si="24"/>
        <v>0</v>
      </c>
    </row>
    <row r="200" spans="1:19" ht="15" x14ac:dyDescent="0.25">
      <c r="A200" s="73"/>
      <c r="B200" s="67"/>
      <c r="C200" s="62" t="s">
        <v>897</v>
      </c>
      <c r="D200" s="63">
        <v>109276</v>
      </c>
      <c r="E200" s="41">
        <v>109276</v>
      </c>
      <c r="F200" s="41">
        <v>0</v>
      </c>
      <c r="G200" s="64">
        <v>0</v>
      </c>
      <c r="H200" s="63">
        <v>109276</v>
      </c>
      <c r="I200" s="41">
        <v>109276</v>
      </c>
      <c r="J200" s="41">
        <v>0</v>
      </c>
      <c r="K200" s="64">
        <v>0</v>
      </c>
      <c r="L200" s="63"/>
      <c r="M200" s="41"/>
      <c r="N200" s="41"/>
      <c r="O200" s="64"/>
      <c r="P200" s="63">
        <f t="shared" si="24"/>
        <v>109276</v>
      </c>
      <c r="Q200" s="41">
        <f t="shared" si="24"/>
        <v>109276</v>
      </c>
      <c r="R200" s="41">
        <f t="shared" si="24"/>
        <v>0</v>
      </c>
      <c r="S200" s="66">
        <f t="shared" si="24"/>
        <v>0</v>
      </c>
    </row>
    <row r="201" spans="1:19" ht="30" x14ac:dyDescent="0.25">
      <c r="A201" s="60"/>
      <c r="B201" s="80"/>
      <c r="C201" s="89" t="s">
        <v>898</v>
      </c>
      <c r="D201" s="63">
        <v>238735</v>
      </c>
      <c r="E201" s="41">
        <v>238735</v>
      </c>
      <c r="F201" s="41">
        <v>0</v>
      </c>
      <c r="G201" s="64">
        <v>0</v>
      </c>
      <c r="H201" s="63">
        <v>238735</v>
      </c>
      <c r="I201" s="41">
        <v>238735</v>
      </c>
      <c r="J201" s="41">
        <v>0</v>
      </c>
      <c r="K201" s="64">
        <v>0</v>
      </c>
      <c r="L201" s="63"/>
      <c r="M201" s="41"/>
      <c r="N201" s="41"/>
      <c r="O201" s="64"/>
      <c r="P201" s="63">
        <f t="shared" si="24"/>
        <v>238735</v>
      </c>
      <c r="Q201" s="41">
        <f t="shared" si="24"/>
        <v>238735</v>
      </c>
      <c r="R201" s="41">
        <f t="shared" si="24"/>
        <v>0</v>
      </c>
      <c r="S201" s="66">
        <f t="shared" si="24"/>
        <v>0</v>
      </c>
    </row>
    <row r="202" spans="1:19" ht="35.25" customHeight="1" x14ac:dyDescent="0.25">
      <c r="A202" s="60"/>
      <c r="B202" s="80"/>
      <c r="C202" s="62" t="s">
        <v>899</v>
      </c>
      <c r="D202" s="63">
        <v>5200</v>
      </c>
      <c r="E202" s="41">
        <v>5200</v>
      </c>
      <c r="F202" s="41">
        <v>0</v>
      </c>
      <c r="G202" s="64">
        <v>0</v>
      </c>
      <c r="H202" s="63">
        <v>5692</v>
      </c>
      <c r="I202" s="41">
        <v>5692</v>
      </c>
      <c r="J202" s="41">
        <v>0</v>
      </c>
      <c r="K202" s="64">
        <v>0</v>
      </c>
      <c r="L202" s="63">
        <v>-5692</v>
      </c>
      <c r="M202" s="41">
        <v>-5692</v>
      </c>
      <c r="N202" s="41">
        <v>0</v>
      </c>
      <c r="O202" s="64">
        <v>0</v>
      </c>
      <c r="P202" s="63">
        <f t="shared" si="24"/>
        <v>0</v>
      </c>
      <c r="Q202" s="41">
        <f t="shared" si="24"/>
        <v>0</v>
      </c>
      <c r="R202" s="41">
        <f t="shared" si="24"/>
        <v>0</v>
      </c>
      <c r="S202" s="66">
        <f t="shared" si="24"/>
        <v>0</v>
      </c>
    </row>
    <row r="203" spans="1:19" ht="15" x14ac:dyDescent="0.25">
      <c r="A203" s="60"/>
      <c r="B203" s="80"/>
      <c r="C203" s="79" t="s">
        <v>900</v>
      </c>
      <c r="D203" s="63">
        <v>123531</v>
      </c>
      <c r="E203" s="41">
        <v>123531</v>
      </c>
      <c r="F203" s="41">
        <v>0</v>
      </c>
      <c r="G203" s="64">
        <v>0</v>
      </c>
      <c r="H203" s="63">
        <v>123531</v>
      </c>
      <c r="I203" s="41">
        <v>123531</v>
      </c>
      <c r="J203" s="41">
        <v>0</v>
      </c>
      <c r="K203" s="64">
        <v>0</v>
      </c>
      <c r="L203" s="63"/>
      <c r="M203" s="41"/>
      <c r="N203" s="41"/>
      <c r="O203" s="64"/>
      <c r="P203" s="63">
        <f t="shared" si="24"/>
        <v>123531</v>
      </c>
      <c r="Q203" s="41">
        <f t="shared" si="24"/>
        <v>123531</v>
      </c>
      <c r="R203" s="41">
        <f t="shared" si="24"/>
        <v>0</v>
      </c>
      <c r="S203" s="66">
        <f t="shared" si="24"/>
        <v>0</v>
      </c>
    </row>
    <row r="204" spans="1:19" ht="15" x14ac:dyDescent="0.25">
      <c r="A204" s="60"/>
      <c r="B204" s="80"/>
      <c r="C204" s="79" t="s">
        <v>901</v>
      </c>
      <c r="D204" s="63">
        <v>15000</v>
      </c>
      <c r="E204" s="41">
        <v>15000</v>
      </c>
      <c r="F204" s="41">
        <v>0</v>
      </c>
      <c r="G204" s="64">
        <v>0</v>
      </c>
      <c r="H204" s="63">
        <v>15000</v>
      </c>
      <c r="I204" s="41">
        <v>15000</v>
      </c>
      <c r="J204" s="41">
        <v>0</v>
      </c>
      <c r="K204" s="64">
        <v>0</v>
      </c>
      <c r="L204" s="63"/>
      <c r="M204" s="41"/>
      <c r="N204" s="41"/>
      <c r="O204" s="64"/>
      <c r="P204" s="63">
        <f t="shared" si="24"/>
        <v>15000</v>
      </c>
      <c r="Q204" s="41">
        <f t="shared" si="24"/>
        <v>15000</v>
      </c>
      <c r="R204" s="41">
        <f t="shared" si="24"/>
        <v>0</v>
      </c>
      <c r="S204" s="66">
        <f t="shared" si="24"/>
        <v>0</v>
      </c>
    </row>
    <row r="205" spans="1:19" ht="15" x14ac:dyDescent="0.25">
      <c r="A205" s="60"/>
      <c r="B205" s="80"/>
      <c r="C205" s="89" t="s">
        <v>902</v>
      </c>
      <c r="D205" s="63">
        <v>6500</v>
      </c>
      <c r="E205" s="41">
        <v>6500</v>
      </c>
      <c r="F205" s="41">
        <v>0</v>
      </c>
      <c r="G205" s="64">
        <v>0</v>
      </c>
      <c r="H205" s="63">
        <v>6500</v>
      </c>
      <c r="I205" s="41">
        <v>6500</v>
      </c>
      <c r="J205" s="41">
        <v>0</v>
      </c>
      <c r="K205" s="64">
        <v>0</v>
      </c>
      <c r="L205" s="63"/>
      <c r="M205" s="41"/>
      <c r="N205" s="41"/>
      <c r="O205" s="64"/>
      <c r="P205" s="63">
        <f t="shared" si="24"/>
        <v>6500</v>
      </c>
      <c r="Q205" s="41">
        <f t="shared" si="24"/>
        <v>6500</v>
      </c>
      <c r="R205" s="41">
        <f t="shared" si="24"/>
        <v>0</v>
      </c>
      <c r="S205" s="66">
        <f t="shared" si="24"/>
        <v>0</v>
      </c>
    </row>
    <row r="206" spans="1:19" ht="15" x14ac:dyDescent="0.25">
      <c r="A206" s="60"/>
      <c r="B206" s="80"/>
      <c r="C206" s="94" t="s">
        <v>903</v>
      </c>
      <c r="D206" s="63">
        <v>1000</v>
      </c>
      <c r="E206" s="41">
        <v>1000</v>
      </c>
      <c r="F206" s="41"/>
      <c r="G206" s="64"/>
      <c r="H206" s="63">
        <v>1000</v>
      </c>
      <c r="I206" s="41">
        <v>1000</v>
      </c>
      <c r="J206" s="41">
        <v>0</v>
      </c>
      <c r="K206" s="64">
        <v>0</v>
      </c>
      <c r="L206" s="63"/>
      <c r="M206" s="41"/>
      <c r="N206" s="41"/>
      <c r="O206" s="64"/>
      <c r="P206" s="63">
        <f t="shared" ref="P206:S270" si="31">H206+L206</f>
        <v>1000</v>
      </c>
      <c r="Q206" s="41">
        <f t="shared" si="31"/>
        <v>1000</v>
      </c>
      <c r="R206" s="41">
        <f t="shared" si="31"/>
        <v>0</v>
      </c>
      <c r="S206" s="66">
        <f t="shared" si="31"/>
        <v>0</v>
      </c>
    </row>
    <row r="207" spans="1:19" ht="15" x14ac:dyDescent="0.25">
      <c r="A207" s="60"/>
      <c r="B207" s="80"/>
      <c r="C207" s="89" t="s">
        <v>904</v>
      </c>
      <c r="D207" s="63">
        <v>4900</v>
      </c>
      <c r="E207" s="41">
        <v>4900</v>
      </c>
      <c r="F207" s="41">
        <v>0</v>
      </c>
      <c r="G207" s="64">
        <v>0</v>
      </c>
      <c r="H207" s="63">
        <v>4900</v>
      </c>
      <c r="I207" s="41">
        <v>4900</v>
      </c>
      <c r="J207" s="41">
        <v>0</v>
      </c>
      <c r="K207" s="64">
        <v>0</v>
      </c>
      <c r="L207" s="63"/>
      <c r="M207" s="41"/>
      <c r="N207" s="41"/>
      <c r="O207" s="64"/>
      <c r="P207" s="63">
        <f t="shared" si="31"/>
        <v>4900</v>
      </c>
      <c r="Q207" s="41">
        <f t="shared" si="31"/>
        <v>4900</v>
      </c>
      <c r="R207" s="41">
        <f t="shared" si="31"/>
        <v>0</v>
      </c>
      <c r="S207" s="66">
        <f t="shared" si="31"/>
        <v>0</v>
      </c>
    </row>
    <row r="208" spans="1:19" ht="15" x14ac:dyDescent="0.25">
      <c r="A208" s="60"/>
      <c r="B208" s="80"/>
      <c r="C208" s="89" t="s">
        <v>905</v>
      </c>
      <c r="D208" s="63">
        <v>27500</v>
      </c>
      <c r="E208" s="41">
        <v>27500</v>
      </c>
      <c r="F208" s="41"/>
      <c r="G208" s="64"/>
      <c r="H208" s="63">
        <v>27500</v>
      </c>
      <c r="I208" s="41">
        <v>27500</v>
      </c>
      <c r="J208" s="41">
        <v>0</v>
      </c>
      <c r="K208" s="64">
        <v>0</v>
      </c>
      <c r="L208" s="63">
        <v>-27500</v>
      </c>
      <c r="M208" s="41">
        <v>-27500</v>
      </c>
      <c r="N208" s="41">
        <v>0</v>
      </c>
      <c r="O208" s="64">
        <v>0</v>
      </c>
      <c r="P208" s="63">
        <f t="shared" si="31"/>
        <v>0</v>
      </c>
      <c r="Q208" s="41">
        <f t="shared" si="31"/>
        <v>0</v>
      </c>
      <c r="R208" s="41">
        <f t="shared" si="31"/>
        <v>0</v>
      </c>
      <c r="S208" s="66">
        <f t="shared" si="31"/>
        <v>0</v>
      </c>
    </row>
    <row r="209" spans="1:19" ht="15" customHeight="1" x14ac:dyDescent="0.25">
      <c r="A209" s="60"/>
      <c r="B209" s="80"/>
      <c r="C209" s="89" t="s">
        <v>978</v>
      </c>
      <c r="D209" s="63"/>
      <c r="E209" s="41"/>
      <c r="F209" s="41"/>
      <c r="G209" s="64"/>
      <c r="H209" s="63">
        <v>20000</v>
      </c>
      <c r="I209" s="41">
        <v>20000</v>
      </c>
      <c r="J209" s="41">
        <v>0</v>
      </c>
      <c r="K209" s="64">
        <v>0</v>
      </c>
      <c r="L209" s="63"/>
      <c r="M209" s="41"/>
      <c r="N209" s="41"/>
      <c r="O209" s="64"/>
      <c r="P209" s="63">
        <f t="shared" si="31"/>
        <v>20000</v>
      </c>
      <c r="Q209" s="41">
        <f t="shared" si="31"/>
        <v>20000</v>
      </c>
      <c r="R209" s="41">
        <f t="shared" si="31"/>
        <v>0</v>
      </c>
      <c r="S209" s="66">
        <f t="shared" si="31"/>
        <v>0</v>
      </c>
    </row>
    <row r="210" spans="1:19" ht="15" customHeight="1" x14ac:dyDescent="0.25">
      <c r="A210" s="60"/>
      <c r="B210" s="80"/>
      <c r="C210" s="89" t="s">
        <v>979</v>
      </c>
      <c r="D210" s="63"/>
      <c r="E210" s="41"/>
      <c r="F210" s="41"/>
      <c r="G210" s="64"/>
      <c r="H210" s="63">
        <v>5600</v>
      </c>
      <c r="I210" s="41">
        <v>5600</v>
      </c>
      <c r="J210" s="41">
        <v>0</v>
      </c>
      <c r="K210" s="64">
        <v>0</v>
      </c>
      <c r="L210" s="63">
        <v>3062</v>
      </c>
      <c r="M210" s="41">
        <v>3062</v>
      </c>
      <c r="N210" s="41">
        <v>0</v>
      </c>
      <c r="O210" s="64">
        <v>0</v>
      </c>
      <c r="P210" s="63">
        <f t="shared" si="31"/>
        <v>8662</v>
      </c>
      <c r="Q210" s="41">
        <f t="shared" si="31"/>
        <v>8662</v>
      </c>
      <c r="R210" s="41">
        <f t="shared" si="31"/>
        <v>0</v>
      </c>
      <c r="S210" s="66">
        <f t="shared" si="31"/>
        <v>0</v>
      </c>
    </row>
    <row r="211" spans="1:19" ht="15" customHeight="1" x14ac:dyDescent="0.25">
      <c r="A211" s="60"/>
      <c r="B211" s="80"/>
      <c r="C211" s="89" t="s">
        <v>980</v>
      </c>
      <c r="D211" s="63"/>
      <c r="E211" s="41"/>
      <c r="F211" s="41"/>
      <c r="G211" s="64"/>
      <c r="H211" s="63">
        <v>2523</v>
      </c>
      <c r="I211" s="41">
        <v>2523</v>
      </c>
      <c r="J211" s="41">
        <v>0</v>
      </c>
      <c r="K211" s="64">
        <v>0</v>
      </c>
      <c r="L211" s="63"/>
      <c r="M211" s="41"/>
      <c r="N211" s="41"/>
      <c r="O211" s="64"/>
      <c r="P211" s="63">
        <f t="shared" si="31"/>
        <v>2523</v>
      </c>
      <c r="Q211" s="41">
        <f t="shared" si="31"/>
        <v>2523</v>
      </c>
      <c r="R211" s="41">
        <f t="shared" si="31"/>
        <v>0</v>
      </c>
      <c r="S211" s="66">
        <f t="shared" si="31"/>
        <v>0</v>
      </c>
    </row>
    <row r="212" spans="1:19" ht="15" customHeight="1" x14ac:dyDescent="0.25">
      <c r="A212" s="60"/>
      <c r="B212" s="80"/>
      <c r="C212" s="89" t="s">
        <v>981</v>
      </c>
      <c r="D212" s="63"/>
      <c r="E212" s="41"/>
      <c r="F212" s="41"/>
      <c r="G212" s="64"/>
      <c r="H212" s="63">
        <v>583</v>
      </c>
      <c r="I212" s="41">
        <v>583</v>
      </c>
      <c r="J212" s="41">
        <v>0</v>
      </c>
      <c r="K212" s="64">
        <v>0</v>
      </c>
      <c r="L212" s="63">
        <v>386</v>
      </c>
      <c r="M212" s="41">
        <v>386</v>
      </c>
      <c r="N212" s="41">
        <v>0</v>
      </c>
      <c r="O212" s="64">
        <v>0</v>
      </c>
      <c r="P212" s="63">
        <f t="shared" si="31"/>
        <v>969</v>
      </c>
      <c r="Q212" s="41">
        <f t="shared" si="31"/>
        <v>969</v>
      </c>
      <c r="R212" s="41">
        <f t="shared" si="31"/>
        <v>0</v>
      </c>
      <c r="S212" s="66">
        <f t="shared" si="31"/>
        <v>0</v>
      </c>
    </row>
    <row r="213" spans="1:19" ht="15" customHeight="1" x14ac:dyDescent="0.25">
      <c r="A213" s="60"/>
      <c r="B213" s="80"/>
      <c r="C213" s="89" t="s">
        <v>1004</v>
      </c>
      <c r="D213" s="63"/>
      <c r="E213" s="41"/>
      <c r="F213" s="41"/>
      <c r="G213" s="64"/>
      <c r="H213" s="63"/>
      <c r="I213" s="41"/>
      <c r="J213" s="41"/>
      <c r="K213" s="64"/>
      <c r="L213" s="63">
        <v>1604</v>
      </c>
      <c r="M213" s="41">
        <v>1604</v>
      </c>
      <c r="N213" s="41">
        <v>0</v>
      </c>
      <c r="O213" s="64">
        <v>0</v>
      </c>
      <c r="P213" s="63">
        <f t="shared" si="31"/>
        <v>1604</v>
      </c>
      <c r="Q213" s="41">
        <f t="shared" si="31"/>
        <v>1604</v>
      </c>
      <c r="R213" s="41">
        <f t="shared" si="31"/>
        <v>0</v>
      </c>
      <c r="S213" s="66">
        <f t="shared" si="31"/>
        <v>0</v>
      </c>
    </row>
    <row r="214" spans="1:19" ht="45" x14ac:dyDescent="0.25">
      <c r="A214" s="60"/>
      <c r="B214" s="80"/>
      <c r="C214" s="89" t="s">
        <v>1005</v>
      </c>
      <c r="D214" s="63"/>
      <c r="E214" s="41"/>
      <c r="F214" s="41"/>
      <c r="G214" s="64"/>
      <c r="H214" s="63"/>
      <c r="I214" s="41"/>
      <c r="J214" s="41"/>
      <c r="K214" s="64"/>
      <c r="L214" s="63">
        <v>5319</v>
      </c>
      <c r="M214" s="41">
        <v>5319</v>
      </c>
      <c r="N214" s="41">
        <v>0</v>
      </c>
      <c r="O214" s="64">
        <v>0</v>
      </c>
      <c r="P214" s="63">
        <f t="shared" si="31"/>
        <v>5319</v>
      </c>
      <c r="Q214" s="41">
        <f t="shared" si="31"/>
        <v>5319</v>
      </c>
      <c r="R214" s="41">
        <f t="shared" si="31"/>
        <v>0</v>
      </c>
      <c r="S214" s="66">
        <f t="shared" si="31"/>
        <v>0</v>
      </c>
    </row>
    <row r="215" spans="1:19" ht="15" x14ac:dyDescent="0.25">
      <c r="A215" s="60"/>
      <c r="B215" s="80"/>
      <c r="C215" s="89" t="s">
        <v>1006</v>
      </c>
      <c r="D215" s="63"/>
      <c r="E215" s="41"/>
      <c r="F215" s="41"/>
      <c r="G215" s="64"/>
      <c r="H215" s="63"/>
      <c r="I215" s="41"/>
      <c r="J215" s="41"/>
      <c r="K215" s="64"/>
      <c r="L215" s="63">
        <v>6809</v>
      </c>
      <c r="M215" s="41">
        <v>6809</v>
      </c>
      <c r="N215" s="41">
        <v>0</v>
      </c>
      <c r="O215" s="64">
        <v>0</v>
      </c>
      <c r="P215" s="63">
        <f t="shared" si="31"/>
        <v>6809</v>
      </c>
      <c r="Q215" s="41">
        <f t="shared" si="31"/>
        <v>6809</v>
      </c>
      <c r="R215" s="41">
        <f t="shared" si="31"/>
        <v>0</v>
      </c>
      <c r="S215" s="66">
        <f t="shared" si="31"/>
        <v>0</v>
      </c>
    </row>
    <row r="216" spans="1:19" ht="15" x14ac:dyDescent="0.25">
      <c r="A216" s="60"/>
      <c r="B216" s="80"/>
      <c r="C216" s="89" t="s">
        <v>1007</v>
      </c>
      <c r="D216" s="63"/>
      <c r="E216" s="41"/>
      <c r="F216" s="41"/>
      <c r="G216" s="64"/>
      <c r="H216" s="63"/>
      <c r="I216" s="41"/>
      <c r="J216" s="41"/>
      <c r="K216" s="64"/>
      <c r="L216" s="63">
        <v>850</v>
      </c>
      <c r="M216" s="41">
        <v>850</v>
      </c>
      <c r="N216" s="41">
        <v>0</v>
      </c>
      <c r="O216" s="64">
        <v>0</v>
      </c>
      <c r="P216" s="63">
        <f t="shared" si="31"/>
        <v>850</v>
      </c>
      <c r="Q216" s="41">
        <f t="shared" si="31"/>
        <v>850</v>
      </c>
      <c r="R216" s="41">
        <f t="shared" si="31"/>
        <v>0</v>
      </c>
      <c r="S216" s="66">
        <f t="shared" si="31"/>
        <v>0</v>
      </c>
    </row>
    <row r="217" spans="1:19" ht="30" x14ac:dyDescent="0.25">
      <c r="A217" s="60"/>
      <c r="B217" s="80"/>
      <c r="C217" s="89" t="s">
        <v>1008</v>
      </c>
      <c r="D217" s="63"/>
      <c r="E217" s="41"/>
      <c r="F217" s="41"/>
      <c r="G217" s="64"/>
      <c r="H217" s="63"/>
      <c r="I217" s="41"/>
      <c r="J217" s="41"/>
      <c r="K217" s="64"/>
      <c r="L217" s="63">
        <v>8134</v>
      </c>
      <c r="M217" s="41">
        <v>8134</v>
      </c>
      <c r="N217" s="41">
        <v>0</v>
      </c>
      <c r="O217" s="64">
        <v>0</v>
      </c>
      <c r="P217" s="63">
        <f t="shared" si="31"/>
        <v>8134</v>
      </c>
      <c r="Q217" s="41">
        <f t="shared" si="31"/>
        <v>8134</v>
      </c>
      <c r="R217" s="41">
        <f t="shared" si="31"/>
        <v>0</v>
      </c>
      <c r="S217" s="66">
        <f t="shared" si="31"/>
        <v>0</v>
      </c>
    </row>
    <row r="218" spans="1:19" ht="15" x14ac:dyDescent="0.25">
      <c r="A218" s="60"/>
      <c r="B218" s="80"/>
      <c r="C218" s="89" t="s">
        <v>1009</v>
      </c>
      <c r="D218" s="63"/>
      <c r="E218" s="41"/>
      <c r="F218" s="41"/>
      <c r="G218" s="64"/>
      <c r="H218" s="63"/>
      <c r="I218" s="41"/>
      <c r="J218" s="41"/>
      <c r="K218" s="64"/>
      <c r="L218" s="63">
        <v>3500</v>
      </c>
      <c r="M218" s="41">
        <v>3500</v>
      </c>
      <c r="N218" s="41">
        <v>0</v>
      </c>
      <c r="O218" s="64">
        <v>0</v>
      </c>
      <c r="P218" s="63">
        <f t="shared" si="31"/>
        <v>3500</v>
      </c>
      <c r="Q218" s="41">
        <f t="shared" si="31"/>
        <v>3500</v>
      </c>
      <c r="R218" s="41">
        <f t="shared" si="31"/>
        <v>0</v>
      </c>
      <c r="S218" s="66">
        <f t="shared" si="31"/>
        <v>0</v>
      </c>
    </row>
    <row r="219" spans="1:19" ht="15" x14ac:dyDescent="0.25">
      <c r="A219" s="60"/>
      <c r="B219" s="80"/>
      <c r="C219" s="89" t="s">
        <v>1010</v>
      </c>
      <c r="D219" s="63"/>
      <c r="E219" s="41"/>
      <c r="F219" s="41"/>
      <c r="G219" s="64"/>
      <c r="H219" s="63"/>
      <c r="I219" s="41"/>
      <c r="J219" s="41"/>
      <c r="K219" s="64"/>
      <c r="L219" s="63">
        <v>2940</v>
      </c>
      <c r="M219" s="41">
        <v>2940</v>
      </c>
      <c r="N219" s="41">
        <v>0</v>
      </c>
      <c r="O219" s="64">
        <v>0</v>
      </c>
      <c r="P219" s="63">
        <f t="shared" si="31"/>
        <v>2940</v>
      </c>
      <c r="Q219" s="41">
        <f t="shared" si="31"/>
        <v>2940</v>
      </c>
      <c r="R219" s="41">
        <f t="shared" si="31"/>
        <v>0</v>
      </c>
      <c r="S219" s="66">
        <f t="shared" si="31"/>
        <v>0</v>
      </c>
    </row>
    <row r="220" spans="1:19" ht="15" x14ac:dyDescent="0.25">
      <c r="A220" s="73"/>
      <c r="B220" s="67"/>
      <c r="C220" s="79"/>
      <c r="D220" s="85"/>
      <c r="E220" s="86"/>
      <c r="F220" s="86"/>
      <c r="G220" s="87"/>
      <c r="H220" s="85"/>
      <c r="I220" s="86"/>
      <c r="J220" s="86"/>
      <c r="K220" s="87"/>
      <c r="L220" s="85"/>
      <c r="M220" s="86"/>
      <c r="N220" s="86"/>
      <c r="O220" s="87"/>
      <c r="P220" s="85"/>
      <c r="Q220" s="86"/>
      <c r="R220" s="86"/>
      <c r="S220" s="88"/>
    </row>
    <row r="221" spans="1:19" ht="15" x14ac:dyDescent="0.25">
      <c r="A221" s="73"/>
      <c r="B221" s="67"/>
      <c r="C221" s="81" t="s">
        <v>36</v>
      </c>
      <c r="D221" s="82">
        <f t="shared" ref="D221:O221" si="32">SUM(D195:D220)</f>
        <v>661863</v>
      </c>
      <c r="E221" s="83">
        <f t="shared" si="32"/>
        <v>659663</v>
      </c>
      <c r="F221" s="83">
        <f t="shared" si="32"/>
        <v>2200</v>
      </c>
      <c r="G221" s="84">
        <f t="shared" si="32"/>
        <v>0</v>
      </c>
      <c r="H221" s="82">
        <v>688861</v>
      </c>
      <c r="I221" s="83">
        <v>688861</v>
      </c>
      <c r="J221" s="83">
        <v>0</v>
      </c>
      <c r="K221" s="84">
        <v>0</v>
      </c>
      <c r="L221" s="82">
        <f t="shared" si="32"/>
        <v>599</v>
      </c>
      <c r="M221" s="83">
        <f t="shared" si="32"/>
        <v>599</v>
      </c>
      <c r="N221" s="83">
        <f t="shared" si="32"/>
        <v>0</v>
      </c>
      <c r="O221" s="84">
        <f t="shared" si="32"/>
        <v>0</v>
      </c>
      <c r="P221" s="82">
        <f t="shared" si="31"/>
        <v>689460</v>
      </c>
      <c r="Q221" s="83">
        <f t="shared" si="31"/>
        <v>689460</v>
      </c>
      <c r="R221" s="83">
        <f t="shared" si="31"/>
        <v>0</v>
      </c>
      <c r="S221" s="618">
        <f t="shared" si="31"/>
        <v>0</v>
      </c>
    </row>
    <row r="222" spans="1:19" x14ac:dyDescent="0.25">
      <c r="A222" s="73"/>
      <c r="B222" s="67"/>
      <c r="C222" s="81"/>
      <c r="D222" s="90"/>
      <c r="E222" s="42"/>
      <c r="F222" s="42"/>
      <c r="G222" s="91"/>
      <c r="H222" s="63"/>
      <c r="I222" s="41"/>
      <c r="J222" s="41"/>
      <c r="K222" s="64"/>
      <c r="L222" s="90"/>
      <c r="M222" s="42"/>
      <c r="N222" s="42"/>
      <c r="O222" s="91"/>
      <c r="P222" s="63"/>
      <c r="Q222" s="41"/>
      <c r="R222" s="41"/>
      <c r="S222" s="66"/>
    </row>
    <row r="223" spans="1:19" x14ac:dyDescent="0.25">
      <c r="A223" s="73"/>
      <c r="B223" s="67" t="s">
        <v>19</v>
      </c>
      <c r="C223" s="62" t="s">
        <v>18</v>
      </c>
      <c r="D223" s="90"/>
      <c r="E223" s="42"/>
      <c r="F223" s="42"/>
      <c r="G223" s="91"/>
      <c r="H223" s="63"/>
      <c r="I223" s="41"/>
      <c r="J223" s="41"/>
      <c r="K223" s="64"/>
      <c r="L223" s="90"/>
      <c r="M223" s="42"/>
      <c r="N223" s="42"/>
      <c r="O223" s="91"/>
      <c r="P223" s="63"/>
      <c r="Q223" s="41"/>
      <c r="R223" s="41"/>
      <c r="S223" s="66"/>
    </row>
    <row r="224" spans="1:19" ht="30" x14ac:dyDescent="0.25">
      <c r="A224" s="73"/>
      <c r="B224" s="67"/>
      <c r="C224" s="79" t="s">
        <v>877</v>
      </c>
      <c r="D224" s="63">
        <v>95191</v>
      </c>
      <c r="E224" s="41">
        <v>95191</v>
      </c>
      <c r="F224" s="41">
        <v>0</v>
      </c>
      <c r="G224" s="64">
        <v>0</v>
      </c>
      <c r="H224" s="63">
        <v>95191</v>
      </c>
      <c r="I224" s="41">
        <v>95191</v>
      </c>
      <c r="J224" s="41">
        <v>0</v>
      </c>
      <c r="K224" s="64">
        <v>0</v>
      </c>
      <c r="L224" s="63">
        <v>1995</v>
      </c>
      <c r="M224" s="41">
        <v>1995</v>
      </c>
      <c r="N224" s="41">
        <v>0</v>
      </c>
      <c r="O224" s="64">
        <v>0</v>
      </c>
      <c r="P224" s="63">
        <f t="shared" si="31"/>
        <v>97186</v>
      </c>
      <c r="Q224" s="41">
        <f t="shared" si="31"/>
        <v>97186</v>
      </c>
      <c r="R224" s="41">
        <f t="shared" si="31"/>
        <v>0</v>
      </c>
      <c r="S224" s="66">
        <f t="shared" si="31"/>
        <v>0</v>
      </c>
    </row>
    <row r="225" spans="1:19" ht="15" x14ac:dyDescent="0.25">
      <c r="A225" s="73"/>
      <c r="B225" s="67"/>
      <c r="C225" s="89" t="s">
        <v>906</v>
      </c>
      <c r="D225" s="63">
        <v>117870</v>
      </c>
      <c r="E225" s="41">
        <v>117870</v>
      </c>
      <c r="F225" s="41">
        <v>0</v>
      </c>
      <c r="G225" s="64">
        <v>0</v>
      </c>
      <c r="H225" s="63">
        <v>117870</v>
      </c>
      <c r="I225" s="41">
        <v>117870</v>
      </c>
      <c r="J225" s="41">
        <v>0</v>
      </c>
      <c r="K225" s="64">
        <v>0</v>
      </c>
      <c r="L225" s="63"/>
      <c r="M225" s="41"/>
      <c r="N225" s="41"/>
      <c r="O225" s="64"/>
      <c r="P225" s="63">
        <f t="shared" si="31"/>
        <v>117870</v>
      </c>
      <c r="Q225" s="41">
        <f t="shared" si="31"/>
        <v>117870</v>
      </c>
      <c r="R225" s="41">
        <f t="shared" si="31"/>
        <v>0</v>
      </c>
      <c r="S225" s="66">
        <f t="shared" si="31"/>
        <v>0</v>
      </c>
    </row>
    <row r="226" spans="1:19" ht="15" x14ac:dyDescent="0.25">
      <c r="A226" s="73"/>
      <c r="B226" s="67"/>
      <c r="C226" s="79" t="s">
        <v>907</v>
      </c>
      <c r="D226" s="63">
        <v>50000</v>
      </c>
      <c r="E226" s="41">
        <v>50000</v>
      </c>
      <c r="F226" s="41">
        <v>0</v>
      </c>
      <c r="G226" s="64">
        <v>0</v>
      </c>
      <c r="H226" s="63">
        <v>50000</v>
      </c>
      <c r="I226" s="41">
        <v>50000</v>
      </c>
      <c r="J226" s="41">
        <v>0</v>
      </c>
      <c r="K226" s="64">
        <v>0</v>
      </c>
      <c r="L226" s="63"/>
      <c r="M226" s="41"/>
      <c r="N226" s="41"/>
      <c r="O226" s="64"/>
      <c r="P226" s="63">
        <f t="shared" si="31"/>
        <v>50000</v>
      </c>
      <c r="Q226" s="41">
        <f t="shared" si="31"/>
        <v>50000</v>
      </c>
      <c r="R226" s="41">
        <f t="shared" si="31"/>
        <v>0</v>
      </c>
      <c r="S226" s="66">
        <f t="shared" si="31"/>
        <v>0</v>
      </c>
    </row>
    <row r="227" spans="1:19" ht="30" x14ac:dyDescent="0.25">
      <c r="A227" s="73"/>
      <c r="B227" s="67"/>
      <c r="C227" s="89" t="s">
        <v>908</v>
      </c>
      <c r="D227" s="63">
        <v>365966</v>
      </c>
      <c r="E227" s="41">
        <v>365966</v>
      </c>
      <c r="F227" s="41">
        <v>0</v>
      </c>
      <c r="G227" s="64">
        <v>0</v>
      </c>
      <c r="H227" s="63">
        <v>365966</v>
      </c>
      <c r="I227" s="41">
        <v>365966</v>
      </c>
      <c r="J227" s="41">
        <v>0</v>
      </c>
      <c r="K227" s="64">
        <v>0</v>
      </c>
      <c r="L227" s="63"/>
      <c r="M227" s="41"/>
      <c r="N227" s="41"/>
      <c r="O227" s="64"/>
      <c r="P227" s="63">
        <f t="shared" si="31"/>
        <v>365966</v>
      </c>
      <c r="Q227" s="41">
        <f t="shared" si="31"/>
        <v>365966</v>
      </c>
      <c r="R227" s="41">
        <f t="shared" si="31"/>
        <v>0</v>
      </c>
      <c r="S227" s="66">
        <f t="shared" si="31"/>
        <v>0</v>
      </c>
    </row>
    <row r="228" spans="1:19" ht="30" x14ac:dyDescent="0.25">
      <c r="A228" s="73"/>
      <c r="B228" s="67"/>
      <c r="C228" s="89" t="s">
        <v>909</v>
      </c>
      <c r="D228" s="63">
        <v>365966</v>
      </c>
      <c r="E228" s="41">
        <v>365966</v>
      </c>
      <c r="F228" s="41">
        <v>0</v>
      </c>
      <c r="G228" s="64">
        <v>0</v>
      </c>
      <c r="H228" s="63">
        <v>365966</v>
      </c>
      <c r="I228" s="41">
        <v>365966</v>
      </c>
      <c r="J228" s="41">
        <v>0</v>
      </c>
      <c r="K228" s="64">
        <v>0</v>
      </c>
      <c r="L228" s="63"/>
      <c r="M228" s="41"/>
      <c r="N228" s="41"/>
      <c r="O228" s="64"/>
      <c r="P228" s="63">
        <f t="shared" si="31"/>
        <v>365966</v>
      </c>
      <c r="Q228" s="41">
        <f t="shared" si="31"/>
        <v>365966</v>
      </c>
      <c r="R228" s="41">
        <f t="shared" si="31"/>
        <v>0</v>
      </c>
      <c r="S228" s="66">
        <f t="shared" si="31"/>
        <v>0</v>
      </c>
    </row>
    <row r="229" spans="1:19" ht="30" x14ac:dyDescent="0.25">
      <c r="A229" s="73"/>
      <c r="B229" s="67"/>
      <c r="C229" s="89" t="s">
        <v>910</v>
      </c>
      <c r="D229" s="63">
        <v>363426</v>
      </c>
      <c r="E229" s="41">
        <v>363426</v>
      </c>
      <c r="F229" s="41">
        <v>0</v>
      </c>
      <c r="G229" s="64">
        <v>0</v>
      </c>
      <c r="H229" s="63">
        <v>363426</v>
      </c>
      <c r="I229" s="41">
        <v>363426</v>
      </c>
      <c r="J229" s="41">
        <v>0</v>
      </c>
      <c r="K229" s="64">
        <v>0</v>
      </c>
      <c r="L229" s="63"/>
      <c r="M229" s="41"/>
      <c r="N229" s="41"/>
      <c r="O229" s="64"/>
      <c r="P229" s="63">
        <f t="shared" si="31"/>
        <v>363426</v>
      </c>
      <c r="Q229" s="41">
        <f t="shared" si="31"/>
        <v>363426</v>
      </c>
      <c r="R229" s="41">
        <f t="shared" si="31"/>
        <v>0</v>
      </c>
      <c r="S229" s="66">
        <f t="shared" si="31"/>
        <v>0</v>
      </c>
    </row>
    <row r="230" spans="1:19" ht="30" x14ac:dyDescent="0.25">
      <c r="A230" s="73"/>
      <c r="B230" s="67"/>
      <c r="C230" s="89" t="s">
        <v>982</v>
      </c>
      <c r="D230" s="63"/>
      <c r="E230" s="41"/>
      <c r="F230" s="41"/>
      <c r="G230" s="64"/>
      <c r="H230" s="63">
        <v>187631</v>
      </c>
      <c r="I230" s="41">
        <v>187631</v>
      </c>
      <c r="J230" s="41">
        <v>0</v>
      </c>
      <c r="K230" s="64">
        <v>0</v>
      </c>
      <c r="L230" s="63"/>
      <c r="M230" s="41"/>
      <c r="N230" s="41"/>
      <c r="O230" s="64"/>
      <c r="P230" s="63">
        <f t="shared" si="31"/>
        <v>187631</v>
      </c>
      <c r="Q230" s="41">
        <f t="shared" si="31"/>
        <v>187631</v>
      </c>
      <c r="R230" s="41">
        <f t="shared" si="31"/>
        <v>0</v>
      </c>
      <c r="S230" s="66">
        <f t="shared" si="31"/>
        <v>0</v>
      </c>
    </row>
    <row r="231" spans="1:19" ht="30" x14ac:dyDescent="0.25">
      <c r="A231" s="73"/>
      <c r="B231" s="67"/>
      <c r="C231" s="89" t="s">
        <v>983</v>
      </c>
      <c r="D231" s="63"/>
      <c r="E231" s="41"/>
      <c r="F231" s="41"/>
      <c r="G231" s="64"/>
      <c r="H231" s="63">
        <v>7309</v>
      </c>
      <c r="I231" s="41">
        <v>7309</v>
      </c>
      <c r="J231" s="41">
        <v>0</v>
      </c>
      <c r="K231" s="64">
        <v>0</v>
      </c>
      <c r="L231" s="63"/>
      <c r="M231" s="41"/>
      <c r="N231" s="41"/>
      <c r="O231" s="64"/>
      <c r="P231" s="63">
        <f t="shared" si="31"/>
        <v>7309</v>
      </c>
      <c r="Q231" s="41">
        <f t="shared" si="31"/>
        <v>7309</v>
      </c>
      <c r="R231" s="41">
        <f t="shared" si="31"/>
        <v>0</v>
      </c>
      <c r="S231" s="66">
        <f t="shared" si="31"/>
        <v>0</v>
      </c>
    </row>
    <row r="232" spans="1:19" ht="15" x14ac:dyDescent="0.25">
      <c r="A232" s="73"/>
      <c r="B232" s="67"/>
      <c r="C232" s="89" t="s">
        <v>1011</v>
      </c>
      <c r="D232" s="63"/>
      <c r="E232" s="41"/>
      <c r="F232" s="41"/>
      <c r="G232" s="64"/>
      <c r="H232" s="63"/>
      <c r="I232" s="41"/>
      <c r="J232" s="41"/>
      <c r="K232" s="64"/>
      <c r="L232" s="63">
        <v>2410</v>
      </c>
      <c r="M232" s="41">
        <v>2410</v>
      </c>
      <c r="N232" s="41">
        <v>0</v>
      </c>
      <c r="O232" s="64">
        <v>0</v>
      </c>
      <c r="P232" s="63">
        <f t="shared" si="31"/>
        <v>2410</v>
      </c>
      <c r="Q232" s="41">
        <f t="shared" si="31"/>
        <v>2410</v>
      </c>
      <c r="R232" s="41">
        <f t="shared" si="31"/>
        <v>0</v>
      </c>
      <c r="S232" s="66">
        <f t="shared" si="31"/>
        <v>0</v>
      </c>
    </row>
    <row r="233" spans="1:19" ht="15" x14ac:dyDescent="0.25">
      <c r="A233" s="73"/>
      <c r="B233" s="67"/>
      <c r="C233" s="89" t="s">
        <v>1012</v>
      </c>
      <c r="D233" s="63"/>
      <c r="E233" s="41"/>
      <c r="F233" s="41"/>
      <c r="G233" s="64"/>
      <c r="H233" s="63"/>
      <c r="I233" s="41"/>
      <c r="J233" s="41"/>
      <c r="K233" s="64"/>
      <c r="L233" s="63">
        <v>108475</v>
      </c>
      <c r="M233" s="41">
        <v>108475</v>
      </c>
      <c r="N233" s="41">
        <v>0</v>
      </c>
      <c r="O233" s="64">
        <v>0</v>
      </c>
      <c r="P233" s="63">
        <f t="shared" si="31"/>
        <v>108475</v>
      </c>
      <c r="Q233" s="41">
        <f t="shared" si="31"/>
        <v>108475</v>
      </c>
      <c r="R233" s="41">
        <f t="shared" si="31"/>
        <v>0</v>
      </c>
      <c r="S233" s="66">
        <f t="shared" si="31"/>
        <v>0</v>
      </c>
    </row>
    <row r="234" spans="1:19" ht="15" x14ac:dyDescent="0.25">
      <c r="A234" s="73"/>
      <c r="B234" s="67"/>
      <c r="C234" s="89" t="s">
        <v>1013</v>
      </c>
      <c r="D234" s="63"/>
      <c r="E234" s="41"/>
      <c r="F234" s="41"/>
      <c r="G234" s="64"/>
      <c r="H234" s="63"/>
      <c r="I234" s="41"/>
      <c r="J234" s="41"/>
      <c r="K234" s="64"/>
      <c r="L234" s="63">
        <v>1548</v>
      </c>
      <c r="M234" s="41">
        <v>1548</v>
      </c>
      <c r="N234" s="41">
        <v>0</v>
      </c>
      <c r="O234" s="64">
        <v>0</v>
      </c>
      <c r="P234" s="63">
        <f t="shared" si="31"/>
        <v>1548</v>
      </c>
      <c r="Q234" s="41">
        <f t="shared" si="31"/>
        <v>1548</v>
      </c>
      <c r="R234" s="41">
        <f t="shared" si="31"/>
        <v>0</v>
      </c>
      <c r="S234" s="66">
        <f t="shared" si="31"/>
        <v>0</v>
      </c>
    </row>
    <row r="235" spans="1:19" ht="15" x14ac:dyDescent="0.25">
      <c r="A235" s="73"/>
      <c r="B235" s="67"/>
      <c r="C235" s="89" t="s">
        <v>1014</v>
      </c>
      <c r="D235" s="63"/>
      <c r="E235" s="41"/>
      <c r="F235" s="41"/>
      <c r="G235" s="64"/>
      <c r="H235" s="63"/>
      <c r="I235" s="41"/>
      <c r="J235" s="41"/>
      <c r="K235" s="64"/>
      <c r="L235" s="63">
        <v>5692</v>
      </c>
      <c r="M235" s="41">
        <v>5692</v>
      </c>
      <c r="N235" s="41">
        <v>0</v>
      </c>
      <c r="O235" s="64">
        <v>0</v>
      </c>
      <c r="P235" s="63">
        <f t="shared" si="31"/>
        <v>5692</v>
      </c>
      <c r="Q235" s="41">
        <f t="shared" si="31"/>
        <v>5692</v>
      </c>
      <c r="R235" s="41">
        <f t="shared" si="31"/>
        <v>0</v>
      </c>
      <c r="S235" s="66">
        <f t="shared" si="31"/>
        <v>0</v>
      </c>
    </row>
    <row r="236" spans="1:19" ht="15" x14ac:dyDescent="0.25">
      <c r="A236" s="73"/>
      <c r="B236" s="67"/>
      <c r="C236" s="89"/>
      <c r="D236" s="63"/>
      <c r="E236" s="41"/>
      <c r="F236" s="41"/>
      <c r="G236" s="64"/>
      <c r="H236" s="63"/>
      <c r="I236" s="41"/>
      <c r="J236" s="41"/>
      <c r="K236" s="64"/>
      <c r="L236" s="63"/>
      <c r="M236" s="41"/>
      <c r="N236" s="41"/>
      <c r="O236" s="64"/>
      <c r="P236" s="63"/>
      <c r="Q236" s="41"/>
      <c r="R236" s="41"/>
      <c r="S236" s="66"/>
    </row>
    <row r="237" spans="1:19" ht="15" x14ac:dyDescent="0.25">
      <c r="A237" s="73"/>
      <c r="B237" s="67"/>
      <c r="C237" s="81" t="s">
        <v>37</v>
      </c>
      <c r="D237" s="82">
        <f t="shared" ref="D237:O237" si="33">SUM(D224:D236)</f>
        <v>1358419</v>
      </c>
      <c r="E237" s="83">
        <f t="shared" si="33"/>
        <v>1358419</v>
      </c>
      <c r="F237" s="83">
        <f t="shared" si="33"/>
        <v>0</v>
      </c>
      <c r="G237" s="84">
        <f t="shared" si="33"/>
        <v>0</v>
      </c>
      <c r="H237" s="82">
        <v>1553359</v>
      </c>
      <c r="I237" s="83">
        <v>1553359</v>
      </c>
      <c r="J237" s="83">
        <v>0</v>
      </c>
      <c r="K237" s="84">
        <v>0</v>
      </c>
      <c r="L237" s="82">
        <f t="shared" si="33"/>
        <v>120120</v>
      </c>
      <c r="M237" s="83">
        <f t="shared" si="33"/>
        <v>120120</v>
      </c>
      <c r="N237" s="83">
        <f t="shared" si="33"/>
        <v>0</v>
      </c>
      <c r="O237" s="84">
        <f t="shared" si="33"/>
        <v>0</v>
      </c>
      <c r="P237" s="82">
        <f t="shared" si="31"/>
        <v>1673479</v>
      </c>
      <c r="Q237" s="83">
        <f t="shared" si="31"/>
        <v>1673479</v>
      </c>
      <c r="R237" s="83">
        <f t="shared" si="31"/>
        <v>0</v>
      </c>
      <c r="S237" s="618">
        <f t="shared" si="31"/>
        <v>0</v>
      </c>
    </row>
    <row r="238" spans="1:19" ht="15" x14ac:dyDescent="0.25">
      <c r="A238" s="73"/>
      <c r="B238" s="93"/>
      <c r="C238" s="81"/>
      <c r="D238" s="63"/>
      <c r="E238" s="41"/>
      <c r="F238" s="41"/>
      <c r="G238" s="64"/>
      <c r="H238" s="63"/>
      <c r="I238" s="41"/>
      <c r="J238" s="41"/>
      <c r="K238" s="64"/>
      <c r="L238" s="63"/>
      <c r="M238" s="41"/>
      <c r="N238" s="41"/>
      <c r="O238" s="64"/>
      <c r="P238" s="63"/>
      <c r="Q238" s="41"/>
      <c r="R238" s="41"/>
      <c r="S238" s="66"/>
    </row>
    <row r="239" spans="1:19" ht="15" x14ac:dyDescent="0.25">
      <c r="A239" s="73"/>
      <c r="B239" s="67" t="s">
        <v>27</v>
      </c>
      <c r="C239" s="62" t="s">
        <v>47</v>
      </c>
      <c r="D239" s="63"/>
      <c r="E239" s="41"/>
      <c r="F239" s="41"/>
      <c r="G239" s="64"/>
      <c r="H239" s="63"/>
      <c r="I239" s="41"/>
      <c r="J239" s="41"/>
      <c r="K239" s="64"/>
      <c r="L239" s="63"/>
      <c r="M239" s="41"/>
      <c r="N239" s="41"/>
      <c r="O239" s="64"/>
      <c r="P239" s="63"/>
      <c r="Q239" s="41"/>
      <c r="R239" s="41"/>
      <c r="S239" s="66"/>
    </row>
    <row r="240" spans="1:19" ht="15" x14ac:dyDescent="0.25">
      <c r="A240" s="73"/>
      <c r="B240" s="67"/>
      <c r="C240" s="62" t="s">
        <v>70</v>
      </c>
      <c r="D240" s="63"/>
      <c r="E240" s="41"/>
      <c r="F240" s="41"/>
      <c r="G240" s="64"/>
      <c r="H240" s="63"/>
      <c r="I240" s="41"/>
      <c r="J240" s="41"/>
      <c r="K240" s="64"/>
      <c r="L240" s="63"/>
      <c r="M240" s="41"/>
      <c r="N240" s="41"/>
      <c r="O240" s="64"/>
      <c r="P240" s="63"/>
      <c r="Q240" s="41"/>
      <c r="R240" s="41"/>
      <c r="S240" s="66"/>
    </row>
    <row r="241" spans="1:19" ht="30" x14ac:dyDescent="0.25">
      <c r="A241" s="73"/>
      <c r="B241" s="67"/>
      <c r="C241" s="79" t="s">
        <v>1015</v>
      </c>
      <c r="D241" s="63"/>
      <c r="E241" s="41"/>
      <c r="F241" s="41"/>
      <c r="G241" s="64"/>
      <c r="H241" s="63"/>
      <c r="I241" s="41"/>
      <c r="J241" s="41"/>
      <c r="K241" s="64"/>
      <c r="L241" s="63">
        <v>500</v>
      </c>
      <c r="M241" s="41">
        <v>500</v>
      </c>
      <c r="N241" s="41">
        <v>0</v>
      </c>
      <c r="O241" s="64">
        <v>0</v>
      </c>
      <c r="P241" s="63">
        <f t="shared" ref="P241:S241" si="34">H241+L241</f>
        <v>500</v>
      </c>
      <c r="Q241" s="41">
        <f t="shared" si="34"/>
        <v>500</v>
      </c>
      <c r="R241" s="41">
        <f t="shared" si="34"/>
        <v>0</v>
      </c>
      <c r="S241" s="66">
        <f t="shared" si="34"/>
        <v>0</v>
      </c>
    </row>
    <row r="242" spans="1:19" ht="15" x14ac:dyDescent="0.25">
      <c r="A242" s="73"/>
      <c r="B242" s="67"/>
      <c r="C242" s="62"/>
      <c r="D242" s="63"/>
      <c r="E242" s="41"/>
      <c r="F242" s="41"/>
      <c r="G242" s="64"/>
      <c r="H242" s="63"/>
      <c r="I242" s="41"/>
      <c r="J242" s="41"/>
      <c r="K242" s="64"/>
      <c r="L242" s="63"/>
      <c r="M242" s="41"/>
      <c r="N242" s="41"/>
      <c r="O242" s="64"/>
      <c r="P242" s="63"/>
      <c r="Q242" s="41"/>
      <c r="R242" s="41"/>
      <c r="S242" s="66"/>
    </row>
    <row r="243" spans="1:19" ht="15" x14ac:dyDescent="0.25">
      <c r="A243" s="60"/>
      <c r="B243" s="67"/>
      <c r="C243" s="69" t="s">
        <v>22</v>
      </c>
      <c r="D243" s="82">
        <f t="shared" ref="D243:G243" si="35">SUM(D242:D242)</f>
        <v>0</v>
      </c>
      <c r="E243" s="83">
        <f t="shared" si="35"/>
        <v>0</v>
      </c>
      <c r="F243" s="83">
        <f t="shared" si="35"/>
        <v>0</v>
      </c>
      <c r="G243" s="84">
        <f t="shared" si="35"/>
        <v>0</v>
      </c>
      <c r="H243" s="82">
        <v>0</v>
      </c>
      <c r="I243" s="83">
        <v>0</v>
      </c>
      <c r="J243" s="83">
        <v>0</v>
      </c>
      <c r="K243" s="84">
        <v>0</v>
      </c>
      <c r="L243" s="82">
        <f>SUM(L241:L242)</f>
        <v>500</v>
      </c>
      <c r="M243" s="83">
        <f t="shared" ref="M243:O243" si="36">SUM(M241:M242)</f>
        <v>500</v>
      </c>
      <c r="N243" s="83">
        <f t="shared" si="36"/>
        <v>0</v>
      </c>
      <c r="O243" s="84">
        <f t="shared" si="36"/>
        <v>0</v>
      </c>
      <c r="P243" s="82">
        <f t="shared" si="31"/>
        <v>500</v>
      </c>
      <c r="Q243" s="83">
        <f t="shared" si="31"/>
        <v>500</v>
      </c>
      <c r="R243" s="83">
        <f t="shared" si="31"/>
        <v>0</v>
      </c>
      <c r="S243" s="618">
        <f t="shared" si="31"/>
        <v>0</v>
      </c>
    </row>
    <row r="244" spans="1:19" ht="15" x14ac:dyDescent="0.25">
      <c r="A244" s="60"/>
      <c r="B244" s="67"/>
      <c r="C244" s="69"/>
      <c r="D244" s="70"/>
      <c r="E244" s="71"/>
      <c r="F244" s="71"/>
      <c r="G244" s="72"/>
      <c r="H244" s="70"/>
      <c r="I244" s="71"/>
      <c r="J244" s="71"/>
      <c r="K244" s="72"/>
      <c r="L244" s="70"/>
      <c r="M244" s="71"/>
      <c r="N244" s="71"/>
      <c r="O244" s="72"/>
      <c r="P244" s="70"/>
      <c r="Q244" s="71"/>
      <c r="R244" s="71"/>
      <c r="S244" s="578"/>
    </row>
    <row r="245" spans="1:19" ht="15" x14ac:dyDescent="0.25">
      <c r="A245" s="95"/>
      <c r="B245" s="96"/>
      <c r="C245" s="62" t="s">
        <v>71</v>
      </c>
      <c r="D245" s="63"/>
      <c r="E245" s="41"/>
      <c r="F245" s="41"/>
      <c r="G245" s="64"/>
      <c r="H245" s="63"/>
      <c r="I245" s="41"/>
      <c r="J245" s="41"/>
      <c r="K245" s="64"/>
      <c r="L245" s="63"/>
      <c r="M245" s="41"/>
      <c r="N245" s="41"/>
      <c r="O245" s="64"/>
      <c r="P245" s="63"/>
      <c r="Q245" s="41"/>
      <c r="R245" s="41"/>
      <c r="S245" s="66"/>
    </row>
    <row r="246" spans="1:19" ht="15" x14ac:dyDescent="0.25">
      <c r="A246" s="60"/>
      <c r="B246" s="80"/>
      <c r="C246" s="62" t="s">
        <v>164</v>
      </c>
      <c r="D246" s="63">
        <v>5000</v>
      </c>
      <c r="E246" s="41">
        <v>0</v>
      </c>
      <c r="F246" s="41">
        <v>5000</v>
      </c>
      <c r="G246" s="64">
        <v>0</v>
      </c>
      <c r="H246" s="63">
        <v>6000</v>
      </c>
      <c r="I246" s="41">
        <v>0</v>
      </c>
      <c r="J246" s="41">
        <v>6000</v>
      </c>
      <c r="K246" s="64">
        <v>0</v>
      </c>
      <c r="L246" s="63"/>
      <c r="M246" s="41"/>
      <c r="N246" s="41"/>
      <c r="O246" s="64"/>
      <c r="P246" s="63">
        <f t="shared" si="31"/>
        <v>6000</v>
      </c>
      <c r="Q246" s="41">
        <f t="shared" si="31"/>
        <v>0</v>
      </c>
      <c r="R246" s="41">
        <f t="shared" si="31"/>
        <v>6000</v>
      </c>
      <c r="S246" s="66">
        <f t="shared" si="31"/>
        <v>0</v>
      </c>
    </row>
    <row r="247" spans="1:19" ht="15" x14ac:dyDescent="0.25">
      <c r="A247" s="60"/>
      <c r="B247" s="80"/>
      <c r="C247" s="62" t="s">
        <v>911</v>
      </c>
      <c r="D247" s="63">
        <v>3300</v>
      </c>
      <c r="E247" s="41">
        <v>0</v>
      </c>
      <c r="F247" s="41">
        <v>3300</v>
      </c>
      <c r="G247" s="64">
        <v>0</v>
      </c>
      <c r="H247" s="63">
        <v>8300</v>
      </c>
      <c r="I247" s="41">
        <v>0</v>
      </c>
      <c r="J247" s="41">
        <v>8300</v>
      </c>
      <c r="K247" s="64">
        <v>0</v>
      </c>
      <c r="L247" s="63">
        <v>-5000</v>
      </c>
      <c r="M247" s="41">
        <v>0</v>
      </c>
      <c r="N247" s="41">
        <v>-5000</v>
      </c>
      <c r="O247" s="64">
        <v>0</v>
      </c>
      <c r="P247" s="63">
        <f t="shared" si="31"/>
        <v>3300</v>
      </c>
      <c r="Q247" s="41">
        <f t="shared" si="31"/>
        <v>0</v>
      </c>
      <c r="R247" s="41">
        <f t="shared" si="31"/>
        <v>3300</v>
      </c>
      <c r="S247" s="66">
        <f t="shared" si="31"/>
        <v>0</v>
      </c>
    </row>
    <row r="248" spans="1:19" ht="15" x14ac:dyDescent="0.25">
      <c r="A248" s="60"/>
      <c r="B248" s="96"/>
      <c r="C248" s="89"/>
      <c r="D248" s="63"/>
      <c r="E248" s="41"/>
      <c r="F248" s="41"/>
      <c r="G248" s="64"/>
      <c r="H248" s="63"/>
      <c r="I248" s="41"/>
      <c r="J248" s="41"/>
      <c r="K248" s="64"/>
      <c r="L248" s="63"/>
      <c r="M248" s="41"/>
      <c r="N248" s="41"/>
      <c r="O248" s="64"/>
      <c r="P248" s="63"/>
      <c r="Q248" s="41"/>
      <c r="R248" s="41"/>
      <c r="S248" s="66"/>
    </row>
    <row r="249" spans="1:19" ht="15" x14ac:dyDescent="0.25">
      <c r="A249" s="60"/>
      <c r="B249" s="96"/>
      <c r="C249" s="69" t="s">
        <v>22</v>
      </c>
      <c r="D249" s="82">
        <f t="shared" ref="D249:O249" si="37">SUM(D246:D248)</f>
        <v>8300</v>
      </c>
      <c r="E249" s="83">
        <f t="shared" si="37"/>
        <v>0</v>
      </c>
      <c r="F249" s="83">
        <f t="shared" si="37"/>
        <v>8300</v>
      </c>
      <c r="G249" s="84">
        <f t="shared" si="37"/>
        <v>0</v>
      </c>
      <c r="H249" s="82">
        <v>14300</v>
      </c>
      <c r="I249" s="83">
        <v>0</v>
      </c>
      <c r="J249" s="83">
        <v>14300</v>
      </c>
      <c r="K249" s="84">
        <v>0</v>
      </c>
      <c r="L249" s="82">
        <f t="shared" si="37"/>
        <v>-5000</v>
      </c>
      <c r="M249" s="83">
        <f t="shared" si="37"/>
        <v>0</v>
      </c>
      <c r="N249" s="83">
        <f t="shared" si="37"/>
        <v>-5000</v>
      </c>
      <c r="O249" s="84">
        <f t="shared" si="37"/>
        <v>0</v>
      </c>
      <c r="P249" s="82">
        <f t="shared" si="31"/>
        <v>9300</v>
      </c>
      <c r="Q249" s="83">
        <f t="shared" si="31"/>
        <v>0</v>
      </c>
      <c r="R249" s="83">
        <f t="shared" si="31"/>
        <v>9300</v>
      </c>
      <c r="S249" s="618">
        <f t="shared" si="31"/>
        <v>0</v>
      </c>
    </row>
    <row r="250" spans="1:19" ht="15" x14ac:dyDescent="0.25">
      <c r="A250" s="60"/>
      <c r="B250" s="96"/>
      <c r="C250" s="69"/>
      <c r="D250" s="70"/>
      <c r="E250" s="71"/>
      <c r="F250" s="71"/>
      <c r="G250" s="72"/>
      <c r="H250" s="70"/>
      <c r="I250" s="71"/>
      <c r="J250" s="71"/>
      <c r="K250" s="72"/>
      <c r="L250" s="70"/>
      <c r="M250" s="71"/>
      <c r="N250" s="71"/>
      <c r="O250" s="72"/>
      <c r="P250" s="70"/>
      <c r="Q250" s="71"/>
      <c r="R250" s="71"/>
      <c r="S250" s="578"/>
    </row>
    <row r="251" spans="1:19" ht="15" x14ac:dyDescent="0.25">
      <c r="A251" s="60"/>
      <c r="B251" s="96"/>
      <c r="C251" s="62" t="s">
        <v>60</v>
      </c>
      <c r="D251" s="70"/>
      <c r="E251" s="71"/>
      <c r="F251" s="71"/>
      <c r="G251" s="72"/>
      <c r="H251" s="70"/>
      <c r="I251" s="71"/>
      <c r="J251" s="71"/>
      <c r="K251" s="72"/>
      <c r="L251" s="70"/>
      <c r="M251" s="71"/>
      <c r="N251" s="71"/>
      <c r="O251" s="72"/>
      <c r="P251" s="70"/>
      <c r="Q251" s="71"/>
      <c r="R251" s="71"/>
      <c r="S251" s="578"/>
    </row>
    <row r="252" spans="1:19" ht="30" x14ac:dyDescent="0.25">
      <c r="A252" s="60"/>
      <c r="B252" s="80"/>
      <c r="C252" s="79" t="s">
        <v>195</v>
      </c>
      <c r="D252" s="63">
        <v>5000</v>
      </c>
      <c r="E252" s="41">
        <v>5000</v>
      </c>
      <c r="F252" s="41">
        <v>0</v>
      </c>
      <c r="G252" s="64">
        <v>0</v>
      </c>
      <c r="H252" s="63">
        <v>5000</v>
      </c>
      <c r="I252" s="41">
        <v>5000</v>
      </c>
      <c r="J252" s="41">
        <v>0</v>
      </c>
      <c r="K252" s="64">
        <v>0</v>
      </c>
      <c r="L252" s="63"/>
      <c r="M252" s="41"/>
      <c r="N252" s="41"/>
      <c r="O252" s="64"/>
      <c r="P252" s="63">
        <f t="shared" si="31"/>
        <v>5000</v>
      </c>
      <c r="Q252" s="41">
        <f t="shared" si="31"/>
        <v>5000</v>
      </c>
      <c r="R252" s="41">
        <f t="shared" si="31"/>
        <v>0</v>
      </c>
      <c r="S252" s="66">
        <f t="shared" si="31"/>
        <v>0</v>
      </c>
    </row>
    <row r="253" spans="1:19" ht="30" x14ac:dyDescent="0.25">
      <c r="A253" s="60"/>
      <c r="B253" s="80"/>
      <c r="C253" s="97" t="s">
        <v>196</v>
      </c>
      <c r="D253" s="63">
        <v>9868</v>
      </c>
      <c r="E253" s="41">
        <v>9868</v>
      </c>
      <c r="F253" s="41">
        <v>0</v>
      </c>
      <c r="G253" s="64">
        <v>0</v>
      </c>
      <c r="H253" s="63">
        <v>9868</v>
      </c>
      <c r="I253" s="41">
        <v>9868</v>
      </c>
      <c r="J253" s="41">
        <v>0</v>
      </c>
      <c r="K253" s="64">
        <v>0</v>
      </c>
      <c r="L253" s="63"/>
      <c r="M253" s="41"/>
      <c r="N253" s="41"/>
      <c r="O253" s="64"/>
      <c r="P253" s="63">
        <f t="shared" si="31"/>
        <v>9868</v>
      </c>
      <c r="Q253" s="41">
        <f t="shared" si="31"/>
        <v>9868</v>
      </c>
      <c r="R253" s="41">
        <f t="shared" si="31"/>
        <v>0</v>
      </c>
      <c r="S253" s="66">
        <f t="shared" si="31"/>
        <v>0</v>
      </c>
    </row>
    <row r="254" spans="1:19" ht="15" x14ac:dyDescent="0.25">
      <c r="A254" s="60"/>
      <c r="B254" s="96"/>
      <c r="C254" s="89"/>
      <c r="D254" s="85"/>
      <c r="E254" s="86"/>
      <c r="F254" s="86"/>
      <c r="G254" s="87"/>
      <c r="H254" s="85"/>
      <c r="I254" s="86"/>
      <c r="J254" s="86"/>
      <c r="K254" s="87"/>
      <c r="L254" s="85"/>
      <c r="M254" s="86"/>
      <c r="N254" s="86"/>
      <c r="O254" s="87"/>
      <c r="P254" s="85"/>
      <c r="Q254" s="86"/>
      <c r="R254" s="86"/>
      <c r="S254" s="88"/>
    </row>
    <row r="255" spans="1:19" ht="15" x14ac:dyDescent="0.25">
      <c r="A255" s="60"/>
      <c r="B255" s="96"/>
      <c r="C255" s="69" t="s">
        <v>22</v>
      </c>
      <c r="D255" s="82">
        <f t="shared" ref="D255:O255" si="38">SUM(D252:D254)</f>
        <v>14868</v>
      </c>
      <c r="E255" s="83">
        <f t="shared" si="38"/>
        <v>14868</v>
      </c>
      <c r="F255" s="83">
        <f t="shared" si="38"/>
        <v>0</v>
      </c>
      <c r="G255" s="84">
        <f t="shared" si="38"/>
        <v>0</v>
      </c>
      <c r="H255" s="82">
        <v>14868</v>
      </c>
      <c r="I255" s="83">
        <v>14868</v>
      </c>
      <c r="J255" s="83">
        <v>0</v>
      </c>
      <c r="K255" s="84">
        <v>0</v>
      </c>
      <c r="L255" s="82">
        <f t="shared" si="38"/>
        <v>0</v>
      </c>
      <c r="M255" s="83">
        <f t="shared" si="38"/>
        <v>0</v>
      </c>
      <c r="N255" s="83">
        <f t="shared" si="38"/>
        <v>0</v>
      </c>
      <c r="O255" s="84">
        <f t="shared" si="38"/>
        <v>0</v>
      </c>
      <c r="P255" s="82">
        <f t="shared" si="31"/>
        <v>14868</v>
      </c>
      <c r="Q255" s="83">
        <f t="shared" si="31"/>
        <v>14868</v>
      </c>
      <c r="R255" s="83">
        <f t="shared" si="31"/>
        <v>0</v>
      </c>
      <c r="S255" s="618">
        <f t="shared" si="31"/>
        <v>0</v>
      </c>
    </row>
    <row r="256" spans="1:19" ht="15" x14ac:dyDescent="0.25">
      <c r="A256" s="60"/>
      <c r="B256" s="96"/>
      <c r="C256" s="69"/>
      <c r="D256" s="70"/>
      <c r="E256" s="71"/>
      <c r="F256" s="71"/>
      <c r="G256" s="72"/>
      <c r="H256" s="70"/>
      <c r="I256" s="71"/>
      <c r="J256" s="71"/>
      <c r="K256" s="72"/>
      <c r="L256" s="70"/>
      <c r="M256" s="71"/>
      <c r="N256" s="71"/>
      <c r="O256" s="72"/>
      <c r="P256" s="70"/>
      <c r="Q256" s="71"/>
      <c r="R256" s="71"/>
      <c r="S256" s="578"/>
    </row>
    <row r="257" spans="1:19" ht="15" x14ac:dyDescent="0.25">
      <c r="A257" s="60"/>
      <c r="B257" s="96"/>
      <c r="C257" s="81" t="s">
        <v>38</v>
      </c>
      <c r="D257" s="82">
        <f t="shared" ref="D257:O257" si="39">D243+D249+D255</f>
        <v>23168</v>
      </c>
      <c r="E257" s="83">
        <f t="shared" si="39"/>
        <v>14868</v>
      </c>
      <c r="F257" s="83">
        <f t="shared" si="39"/>
        <v>8300</v>
      </c>
      <c r="G257" s="84">
        <f t="shared" si="39"/>
        <v>0</v>
      </c>
      <c r="H257" s="82">
        <v>29168</v>
      </c>
      <c r="I257" s="83">
        <v>14868</v>
      </c>
      <c r="J257" s="83">
        <v>14300</v>
      </c>
      <c r="K257" s="84">
        <v>0</v>
      </c>
      <c r="L257" s="82">
        <f t="shared" si="39"/>
        <v>-4500</v>
      </c>
      <c r="M257" s="83">
        <f t="shared" si="39"/>
        <v>500</v>
      </c>
      <c r="N257" s="83">
        <f t="shared" si="39"/>
        <v>-5000</v>
      </c>
      <c r="O257" s="84">
        <f t="shared" si="39"/>
        <v>0</v>
      </c>
      <c r="P257" s="82">
        <f t="shared" si="31"/>
        <v>24668</v>
      </c>
      <c r="Q257" s="83">
        <f t="shared" si="31"/>
        <v>15368</v>
      </c>
      <c r="R257" s="83">
        <f t="shared" si="31"/>
        <v>9300</v>
      </c>
      <c r="S257" s="618">
        <f t="shared" si="31"/>
        <v>0</v>
      </c>
    </row>
    <row r="258" spans="1:19" ht="15" x14ac:dyDescent="0.25">
      <c r="A258" s="60"/>
      <c r="B258" s="67"/>
      <c r="C258" s="81"/>
      <c r="D258" s="82"/>
      <c r="E258" s="83"/>
      <c r="F258" s="83"/>
      <c r="G258" s="84"/>
      <c r="H258" s="82"/>
      <c r="I258" s="83"/>
      <c r="J258" s="83"/>
      <c r="K258" s="84"/>
      <c r="L258" s="82"/>
      <c r="M258" s="83"/>
      <c r="N258" s="83"/>
      <c r="O258" s="84"/>
      <c r="P258" s="82"/>
      <c r="Q258" s="83"/>
      <c r="R258" s="83"/>
      <c r="S258" s="618"/>
    </row>
    <row r="259" spans="1:19" ht="15" x14ac:dyDescent="0.25">
      <c r="A259" s="60"/>
      <c r="B259" s="67"/>
      <c r="C259" s="54" t="s">
        <v>10</v>
      </c>
      <c r="D259" s="55">
        <f t="shared" ref="D259:O259" si="40">D64+D74+D136+D150+D192+D221+D237+D257</f>
        <v>4277690</v>
      </c>
      <c r="E259" s="56">
        <f t="shared" si="40"/>
        <v>3807370</v>
      </c>
      <c r="F259" s="56">
        <f t="shared" si="40"/>
        <v>455320</v>
      </c>
      <c r="G259" s="57">
        <f t="shared" si="40"/>
        <v>15000</v>
      </c>
      <c r="H259" s="55">
        <v>4683331</v>
      </c>
      <c r="I259" s="56">
        <v>4207468</v>
      </c>
      <c r="J259" s="56">
        <v>460863</v>
      </c>
      <c r="K259" s="57">
        <v>15000</v>
      </c>
      <c r="L259" s="55">
        <f t="shared" si="40"/>
        <v>210431</v>
      </c>
      <c r="M259" s="56">
        <f t="shared" si="40"/>
        <v>190570</v>
      </c>
      <c r="N259" s="56">
        <f t="shared" si="40"/>
        <v>19686</v>
      </c>
      <c r="O259" s="57">
        <f t="shared" si="40"/>
        <v>175</v>
      </c>
      <c r="P259" s="55">
        <f t="shared" si="31"/>
        <v>4893762</v>
      </c>
      <c r="Q259" s="56">
        <f t="shared" si="31"/>
        <v>4398038</v>
      </c>
      <c r="R259" s="56">
        <f t="shared" si="31"/>
        <v>480549</v>
      </c>
      <c r="S259" s="584">
        <f t="shared" si="31"/>
        <v>15175</v>
      </c>
    </row>
    <row r="260" spans="1:19" x14ac:dyDescent="0.25">
      <c r="A260" s="60"/>
      <c r="B260" s="98"/>
      <c r="C260" s="99"/>
      <c r="D260" s="90"/>
      <c r="E260" s="42"/>
      <c r="F260" s="42"/>
      <c r="G260" s="91"/>
      <c r="H260" s="63"/>
      <c r="I260" s="41"/>
      <c r="J260" s="41"/>
      <c r="K260" s="64"/>
      <c r="L260" s="90"/>
      <c r="M260" s="42"/>
      <c r="N260" s="42"/>
      <c r="O260" s="91"/>
      <c r="P260" s="63"/>
      <c r="Q260" s="41"/>
      <c r="R260" s="41"/>
      <c r="S260" s="66"/>
    </row>
    <row r="261" spans="1:19" x14ac:dyDescent="0.25">
      <c r="A261" s="60"/>
      <c r="B261" s="67" t="s">
        <v>59</v>
      </c>
      <c r="C261" s="62" t="s">
        <v>77</v>
      </c>
      <c r="D261" s="90"/>
      <c r="E261" s="42"/>
      <c r="F261" s="42"/>
      <c r="G261" s="91"/>
      <c r="H261" s="63"/>
      <c r="I261" s="41"/>
      <c r="J261" s="41"/>
      <c r="K261" s="64"/>
      <c r="L261" s="90"/>
      <c r="M261" s="42"/>
      <c r="N261" s="42"/>
      <c r="O261" s="91"/>
      <c r="P261" s="63"/>
      <c r="Q261" s="41"/>
      <c r="R261" s="41"/>
      <c r="S261" s="66"/>
    </row>
    <row r="262" spans="1:19" x14ac:dyDescent="0.25">
      <c r="A262" s="60"/>
      <c r="B262" s="93"/>
      <c r="C262" s="62" t="s">
        <v>78</v>
      </c>
      <c r="D262" s="90"/>
      <c r="E262" s="42"/>
      <c r="F262" s="42"/>
      <c r="G262" s="91"/>
      <c r="H262" s="63"/>
      <c r="I262" s="41"/>
      <c r="J262" s="41"/>
      <c r="K262" s="64"/>
      <c r="L262" s="90"/>
      <c r="M262" s="42"/>
      <c r="N262" s="42"/>
      <c r="O262" s="91"/>
      <c r="P262" s="63"/>
      <c r="Q262" s="41"/>
      <c r="R262" s="41"/>
      <c r="S262" s="66"/>
    </row>
    <row r="263" spans="1:19" ht="15" x14ac:dyDescent="0.25">
      <c r="A263" s="60"/>
      <c r="B263" s="67"/>
      <c r="C263" s="100" t="s">
        <v>74</v>
      </c>
      <c r="D263" s="63">
        <v>0</v>
      </c>
      <c r="E263" s="41">
        <v>0</v>
      </c>
      <c r="F263" s="41">
        <v>0</v>
      </c>
      <c r="G263" s="64">
        <v>0</v>
      </c>
      <c r="H263" s="63">
        <v>0</v>
      </c>
      <c r="I263" s="41">
        <v>0</v>
      </c>
      <c r="J263" s="41">
        <v>0</v>
      </c>
      <c r="K263" s="64">
        <v>0</v>
      </c>
      <c r="L263" s="63"/>
      <c r="M263" s="41"/>
      <c r="N263" s="41"/>
      <c r="O263" s="64"/>
      <c r="P263" s="63">
        <f t="shared" si="31"/>
        <v>0</v>
      </c>
      <c r="Q263" s="41">
        <f t="shared" si="31"/>
        <v>0</v>
      </c>
      <c r="R263" s="41">
        <f t="shared" si="31"/>
        <v>0</v>
      </c>
      <c r="S263" s="66">
        <f t="shared" si="31"/>
        <v>0</v>
      </c>
    </row>
    <row r="264" spans="1:19" ht="15" x14ac:dyDescent="0.25">
      <c r="A264" s="60"/>
      <c r="B264" s="67"/>
      <c r="C264" s="100" t="s">
        <v>75</v>
      </c>
      <c r="D264" s="63">
        <v>26389</v>
      </c>
      <c r="E264" s="41">
        <v>26389</v>
      </c>
      <c r="F264" s="41">
        <v>0</v>
      </c>
      <c r="G264" s="64">
        <v>0</v>
      </c>
      <c r="H264" s="63">
        <v>26389</v>
      </c>
      <c r="I264" s="41">
        <v>26389</v>
      </c>
      <c r="J264" s="41">
        <v>0</v>
      </c>
      <c r="K264" s="64">
        <v>0</v>
      </c>
      <c r="L264" s="63"/>
      <c r="M264" s="41"/>
      <c r="N264" s="41"/>
      <c r="O264" s="64"/>
      <c r="P264" s="63">
        <f t="shared" si="31"/>
        <v>26389</v>
      </c>
      <c r="Q264" s="41">
        <f t="shared" si="31"/>
        <v>26389</v>
      </c>
      <c r="R264" s="41">
        <f t="shared" si="31"/>
        <v>0</v>
      </c>
      <c r="S264" s="66">
        <f t="shared" si="31"/>
        <v>0</v>
      </c>
    </row>
    <row r="265" spans="1:19" ht="15" x14ac:dyDescent="0.25">
      <c r="A265" s="60"/>
      <c r="B265" s="80"/>
      <c r="C265" s="62" t="s">
        <v>76</v>
      </c>
      <c r="D265" s="63">
        <v>0</v>
      </c>
      <c r="E265" s="41">
        <v>0</v>
      </c>
      <c r="F265" s="41">
        <v>0</v>
      </c>
      <c r="G265" s="64">
        <v>0</v>
      </c>
      <c r="H265" s="63">
        <v>96016</v>
      </c>
      <c r="I265" s="41">
        <v>96016</v>
      </c>
      <c r="J265" s="41">
        <v>0</v>
      </c>
      <c r="K265" s="64">
        <v>0</v>
      </c>
      <c r="L265" s="63">
        <v>16554</v>
      </c>
      <c r="M265" s="41">
        <v>16554</v>
      </c>
      <c r="N265" s="41">
        <v>0</v>
      </c>
      <c r="O265" s="64">
        <v>0</v>
      </c>
      <c r="P265" s="63">
        <f t="shared" si="31"/>
        <v>112570</v>
      </c>
      <c r="Q265" s="41">
        <f t="shared" si="31"/>
        <v>112570</v>
      </c>
      <c r="R265" s="41">
        <f t="shared" si="31"/>
        <v>0</v>
      </c>
      <c r="S265" s="66">
        <f t="shared" si="31"/>
        <v>0</v>
      </c>
    </row>
    <row r="266" spans="1:19" ht="15" x14ac:dyDescent="0.25">
      <c r="A266" s="60"/>
      <c r="B266" s="67"/>
      <c r="C266" s="81" t="s">
        <v>22</v>
      </c>
      <c r="D266" s="76">
        <f t="shared" ref="D266:G266" si="41">SUM(D263:D265)</f>
        <v>26389</v>
      </c>
      <c r="E266" s="77">
        <f t="shared" si="41"/>
        <v>26389</v>
      </c>
      <c r="F266" s="77">
        <f t="shared" si="41"/>
        <v>0</v>
      </c>
      <c r="G266" s="78">
        <f t="shared" si="41"/>
        <v>0</v>
      </c>
      <c r="H266" s="76">
        <v>122405</v>
      </c>
      <c r="I266" s="77">
        <v>122405</v>
      </c>
      <c r="J266" s="77">
        <v>0</v>
      </c>
      <c r="K266" s="78">
        <v>0</v>
      </c>
      <c r="L266" s="76">
        <f t="shared" ref="L266:O266" si="42">SUM(L263:L265)</f>
        <v>16554</v>
      </c>
      <c r="M266" s="77">
        <f t="shared" si="42"/>
        <v>16554</v>
      </c>
      <c r="N266" s="77">
        <f t="shared" si="42"/>
        <v>0</v>
      </c>
      <c r="O266" s="78">
        <f t="shared" si="42"/>
        <v>0</v>
      </c>
      <c r="P266" s="76">
        <f t="shared" si="31"/>
        <v>138959</v>
      </c>
      <c r="Q266" s="77">
        <f t="shared" si="31"/>
        <v>138959</v>
      </c>
      <c r="R266" s="77">
        <f t="shared" si="31"/>
        <v>0</v>
      </c>
      <c r="S266" s="617">
        <f t="shared" si="31"/>
        <v>0</v>
      </c>
    </row>
    <row r="267" spans="1:19" ht="15" x14ac:dyDescent="0.25">
      <c r="A267" s="60"/>
      <c r="B267" s="67"/>
      <c r="C267" s="81"/>
      <c r="D267" s="76"/>
      <c r="E267" s="77"/>
      <c r="F267" s="77"/>
      <c r="G267" s="78"/>
      <c r="H267" s="592"/>
      <c r="I267" s="593"/>
      <c r="J267" s="593"/>
      <c r="K267" s="594"/>
      <c r="L267" s="76"/>
      <c r="M267" s="77"/>
      <c r="N267" s="77"/>
      <c r="O267" s="78"/>
      <c r="P267" s="592"/>
      <c r="Q267" s="593"/>
      <c r="R267" s="593"/>
      <c r="S267" s="620"/>
    </row>
    <row r="268" spans="1:19" ht="15" x14ac:dyDescent="0.25">
      <c r="A268" s="60"/>
      <c r="B268" s="67"/>
      <c r="C268" s="100" t="s">
        <v>79</v>
      </c>
      <c r="D268" s="63">
        <v>64565</v>
      </c>
      <c r="E268" s="41">
        <v>64565</v>
      </c>
      <c r="F268" s="41">
        <v>0</v>
      </c>
      <c r="G268" s="64">
        <v>0</v>
      </c>
      <c r="H268" s="63">
        <v>65470</v>
      </c>
      <c r="I268" s="41">
        <v>65470</v>
      </c>
      <c r="J268" s="41">
        <v>0</v>
      </c>
      <c r="K268" s="64">
        <v>0</v>
      </c>
      <c r="L268" s="63"/>
      <c r="M268" s="41"/>
      <c r="N268" s="41"/>
      <c r="O268" s="64"/>
      <c r="P268" s="63">
        <f t="shared" si="31"/>
        <v>65470</v>
      </c>
      <c r="Q268" s="41">
        <f t="shared" si="31"/>
        <v>65470</v>
      </c>
      <c r="R268" s="41">
        <f t="shared" si="31"/>
        <v>0</v>
      </c>
      <c r="S268" s="66">
        <f t="shared" si="31"/>
        <v>0</v>
      </c>
    </row>
    <row r="269" spans="1:19" ht="15" x14ac:dyDescent="0.25">
      <c r="A269" s="60"/>
      <c r="B269" s="101"/>
      <c r="C269" s="62"/>
      <c r="D269" s="63"/>
      <c r="E269" s="41"/>
      <c r="F269" s="41"/>
      <c r="G269" s="64"/>
      <c r="H269" s="63"/>
      <c r="I269" s="41"/>
      <c r="J269" s="41"/>
      <c r="K269" s="64"/>
      <c r="L269" s="63"/>
      <c r="M269" s="41"/>
      <c r="N269" s="41"/>
      <c r="O269" s="64"/>
      <c r="P269" s="63"/>
      <c r="Q269" s="41"/>
      <c r="R269" s="41"/>
      <c r="S269" s="66"/>
    </row>
    <row r="270" spans="1:19" ht="15.75" thickBot="1" x14ac:dyDescent="0.3">
      <c r="A270" s="102"/>
      <c r="B270" s="103"/>
      <c r="C270" s="104" t="s">
        <v>15</v>
      </c>
      <c r="D270" s="105">
        <f t="shared" ref="D270:O270" si="43">SUM(D53,D266,D259)+D268</f>
        <v>5548638</v>
      </c>
      <c r="E270" s="106">
        <f t="shared" si="43"/>
        <v>5078318</v>
      </c>
      <c r="F270" s="106">
        <f t="shared" si="43"/>
        <v>455320</v>
      </c>
      <c r="G270" s="107">
        <f t="shared" si="43"/>
        <v>15000</v>
      </c>
      <c r="H270" s="105">
        <v>6183859</v>
      </c>
      <c r="I270" s="106">
        <v>5707996</v>
      </c>
      <c r="J270" s="106">
        <v>460863</v>
      </c>
      <c r="K270" s="107">
        <v>15000</v>
      </c>
      <c r="L270" s="105">
        <f t="shared" si="43"/>
        <v>227467</v>
      </c>
      <c r="M270" s="106">
        <f t="shared" si="43"/>
        <v>207606</v>
      </c>
      <c r="N270" s="106">
        <f t="shared" si="43"/>
        <v>19686</v>
      </c>
      <c r="O270" s="107">
        <f t="shared" si="43"/>
        <v>175</v>
      </c>
      <c r="P270" s="105">
        <f t="shared" si="31"/>
        <v>6411326</v>
      </c>
      <c r="Q270" s="106">
        <f t="shared" si="31"/>
        <v>5915602</v>
      </c>
      <c r="R270" s="106">
        <f t="shared" si="31"/>
        <v>480549</v>
      </c>
      <c r="S270" s="621">
        <f t="shared" si="31"/>
        <v>15175</v>
      </c>
    </row>
    <row r="271" spans="1:19" x14ac:dyDescent="0.25">
      <c r="A271" s="20"/>
      <c r="B271" s="589"/>
      <c r="C271" s="595"/>
      <c r="D271" s="590"/>
    </row>
    <row r="272" spans="1:19" x14ac:dyDescent="0.25">
      <c r="A272" s="20"/>
      <c r="B272" s="20"/>
      <c r="C272" s="564"/>
    </row>
    <row r="273" spans="1:16" x14ac:dyDescent="0.25">
      <c r="A273" s="20"/>
      <c r="B273" s="20"/>
      <c r="C273" s="20"/>
      <c r="D273" s="227"/>
      <c r="L273" s="227"/>
      <c r="P273" s="227"/>
    </row>
    <row r="274" spans="1:16" x14ac:dyDescent="0.25">
      <c r="A274" s="20"/>
      <c r="B274" s="20"/>
      <c r="C274" s="20"/>
    </row>
    <row r="275" spans="1:16" x14ac:dyDescent="0.25">
      <c r="A275" s="20"/>
      <c r="B275" s="20"/>
      <c r="C275" s="20"/>
    </row>
    <row r="276" spans="1:16" x14ac:dyDescent="0.25">
      <c r="A276" s="20"/>
      <c r="B276" s="20"/>
      <c r="C276" s="20"/>
    </row>
    <row r="277" spans="1:16" x14ac:dyDescent="0.25">
      <c r="A277" s="37"/>
      <c r="B277" s="37"/>
      <c r="C277" s="37"/>
    </row>
    <row r="278" spans="1:16" x14ac:dyDescent="0.25">
      <c r="A278" s="37"/>
      <c r="B278" s="37"/>
      <c r="C278" s="37"/>
    </row>
    <row r="279" spans="1:16" x14ac:dyDescent="0.25">
      <c r="A279" s="37"/>
      <c r="B279" s="37"/>
      <c r="C279" s="37"/>
    </row>
    <row r="280" spans="1:16" x14ac:dyDescent="0.25">
      <c r="A280" s="37"/>
      <c r="B280" s="37"/>
      <c r="C280" s="37"/>
    </row>
    <row r="281" spans="1:16" x14ac:dyDescent="0.25">
      <c r="A281" s="37"/>
      <c r="B281" s="37"/>
      <c r="C281" s="37"/>
    </row>
    <row r="282" spans="1:16" x14ac:dyDescent="0.25">
      <c r="A282" s="37"/>
      <c r="B282" s="37"/>
      <c r="C282" s="37"/>
    </row>
    <row r="283" spans="1:16" x14ac:dyDescent="0.25">
      <c r="A283" s="37"/>
      <c r="B283" s="37"/>
      <c r="C283" s="37"/>
    </row>
    <row r="284" spans="1:16" x14ac:dyDescent="0.25">
      <c r="A284" s="37"/>
      <c r="B284" s="37"/>
      <c r="C284" s="37"/>
    </row>
    <row r="285" spans="1:16" x14ac:dyDescent="0.25">
      <c r="A285" s="37"/>
      <c r="B285" s="37"/>
      <c r="C285" s="37"/>
    </row>
    <row r="286" spans="1:16" x14ac:dyDescent="0.25">
      <c r="A286" s="37"/>
      <c r="B286" s="37"/>
      <c r="C286" s="37"/>
    </row>
    <row r="287" spans="1:16" x14ac:dyDescent="0.25">
      <c r="A287" s="37"/>
      <c r="B287" s="37"/>
      <c r="C287" s="37"/>
    </row>
    <row r="288" spans="1:16" x14ac:dyDescent="0.25">
      <c r="A288" s="37"/>
      <c r="B288" s="37"/>
      <c r="C288" s="37"/>
    </row>
    <row r="289" spans="1:3" x14ac:dyDescent="0.25">
      <c r="A289" s="37"/>
      <c r="B289" s="37"/>
      <c r="C289" s="37"/>
    </row>
    <row r="290" spans="1:3" x14ac:dyDescent="0.25">
      <c r="A290" s="37"/>
      <c r="B290" s="37"/>
      <c r="C290" s="37"/>
    </row>
    <row r="291" spans="1:3" x14ac:dyDescent="0.25">
      <c r="A291" s="37"/>
      <c r="B291" s="37"/>
      <c r="C291" s="37"/>
    </row>
    <row r="292" spans="1:3" x14ac:dyDescent="0.25">
      <c r="A292" s="37"/>
      <c r="B292" s="37"/>
      <c r="C292" s="37"/>
    </row>
    <row r="293" spans="1:3" x14ac:dyDescent="0.25">
      <c r="A293" s="37"/>
      <c r="B293" s="37"/>
      <c r="C293" s="37"/>
    </row>
    <row r="294" spans="1:3" x14ac:dyDescent="0.25">
      <c r="A294" s="37"/>
      <c r="B294" s="37"/>
      <c r="C294" s="37"/>
    </row>
    <row r="295" spans="1:3" x14ac:dyDescent="0.25">
      <c r="A295" s="37"/>
      <c r="B295" s="37"/>
      <c r="C295" s="37"/>
    </row>
    <row r="296" spans="1:3" x14ac:dyDescent="0.25">
      <c r="A296" s="37"/>
      <c r="B296" s="37"/>
      <c r="C296" s="37"/>
    </row>
    <row r="297" spans="1:3" x14ac:dyDescent="0.25">
      <c r="A297" s="37"/>
      <c r="B297" s="37"/>
      <c r="C297" s="37"/>
    </row>
    <row r="298" spans="1:3" x14ac:dyDescent="0.25">
      <c r="A298" s="37"/>
      <c r="B298" s="37"/>
      <c r="C298" s="37"/>
    </row>
    <row r="299" spans="1:3" x14ac:dyDescent="0.25">
      <c r="A299" s="37"/>
      <c r="B299" s="37"/>
      <c r="C299" s="37"/>
    </row>
    <row r="300" spans="1:3" x14ac:dyDescent="0.25">
      <c r="A300" s="37"/>
      <c r="B300" s="37"/>
      <c r="C300" s="37"/>
    </row>
    <row r="301" spans="1:3" x14ac:dyDescent="0.25">
      <c r="A301" s="37"/>
      <c r="B301" s="37"/>
      <c r="C301" s="37"/>
    </row>
    <row r="302" spans="1:3" x14ac:dyDescent="0.25">
      <c r="A302" s="37"/>
      <c r="B302" s="37"/>
      <c r="C302" s="37"/>
    </row>
    <row r="303" spans="1:3" x14ac:dyDescent="0.25">
      <c r="A303" s="37"/>
      <c r="B303" s="37"/>
      <c r="C303" s="37"/>
    </row>
    <row r="304" spans="1:3" x14ac:dyDescent="0.25">
      <c r="A304" s="37"/>
      <c r="B304" s="37"/>
      <c r="C304" s="37"/>
    </row>
    <row r="305" spans="1:3" x14ac:dyDescent="0.25">
      <c r="A305" s="37"/>
      <c r="B305" s="37"/>
      <c r="C305" s="37"/>
    </row>
    <row r="306" spans="1:3" x14ac:dyDescent="0.25">
      <c r="A306" s="37"/>
      <c r="B306" s="37"/>
      <c r="C306" s="37"/>
    </row>
    <row r="307" spans="1:3" x14ac:dyDescent="0.25">
      <c r="A307" s="37"/>
      <c r="B307" s="37"/>
      <c r="C307" s="37"/>
    </row>
    <row r="308" spans="1:3" x14ac:dyDescent="0.25">
      <c r="A308" s="37"/>
      <c r="B308" s="37"/>
      <c r="C308" s="37"/>
    </row>
    <row r="309" spans="1:3" x14ac:dyDescent="0.25">
      <c r="A309" s="37"/>
      <c r="B309" s="37"/>
      <c r="C309" s="37"/>
    </row>
    <row r="310" spans="1:3" x14ac:dyDescent="0.25">
      <c r="A310" s="37"/>
      <c r="B310" s="37"/>
      <c r="C310" s="37"/>
    </row>
    <row r="311" spans="1:3" x14ac:dyDescent="0.25">
      <c r="A311" s="37"/>
      <c r="B311" s="37"/>
      <c r="C311" s="37"/>
    </row>
    <row r="312" spans="1:3" x14ac:dyDescent="0.25">
      <c r="A312" s="20"/>
      <c r="B312" s="20"/>
      <c r="C312" s="20"/>
    </row>
    <row r="313" spans="1:3" x14ac:dyDescent="0.25">
      <c r="A313" s="20"/>
      <c r="B313" s="20"/>
      <c r="C313" s="20"/>
    </row>
    <row r="314" spans="1:3" x14ac:dyDescent="0.25">
      <c r="A314" s="20"/>
      <c r="B314" s="20"/>
      <c r="C314" s="20"/>
    </row>
  </sheetData>
  <mergeCells count="4">
    <mergeCell ref="D6:G6"/>
    <mergeCell ref="H6:K6"/>
    <mergeCell ref="L6:O6"/>
    <mergeCell ref="P6:S6"/>
  </mergeCells>
  <pageMargins left="1" right="1" top="1" bottom="1" header="0.5" footer="0.5"/>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A5A25-8FC3-4FB3-B588-17F33FEDF17B}">
  <sheetPr>
    <pageSetUpPr fitToPage="1"/>
  </sheetPr>
  <dimension ref="A1:S12"/>
  <sheetViews>
    <sheetView view="pageBreakPreview" zoomScale="115" zoomScaleNormal="100" zoomScaleSheetLayoutView="115" workbookViewId="0">
      <selection activeCell="S2" sqref="S2"/>
    </sheetView>
  </sheetViews>
  <sheetFormatPr defaultColWidth="9.140625" defaultRowHeight="16.5" x14ac:dyDescent="0.25"/>
  <cols>
    <col min="1" max="1" width="16.5703125" style="11" customWidth="1"/>
    <col min="2" max="2" width="8.28515625" style="1" bestFit="1" customWidth="1"/>
    <col min="3" max="3" width="8.28515625" style="1" customWidth="1"/>
    <col min="4" max="4" width="11.42578125" style="1" customWidth="1"/>
    <col min="5" max="5" width="10.42578125" style="1" customWidth="1"/>
    <col min="6" max="6" width="8.28515625" style="1" bestFit="1" customWidth="1"/>
    <col min="7" max="7" width="8.28515625" style="1" customWidth="1"/>
    <col min="8" max="8" width="8.28515625" style="1" bestFit="1" customWidth="1"/>
    <col min="9" max="9" width="8.28515625" style="1" customWidth="1"/>
    <col min="10" max="10" width="8.5703125" style="1" bestFit="1" customWidth="1"/>
    <col min="11" max="11" width="7" style="1" bestFit="1" customWidth="1"/>
    <col min="12" max="12" width="8.5703125" style="1" bestFit="1" customWidth="1"/>
    <col min="13" max="13" width="7" style="1" bestFit="1" customWidth="1"/>
    <col min="14" max="14" width="8.5703125" style="6" bestFit="1" customWidth="1"/>
    <col min="15" max="15" width="7" style="6" bestFit="1" customWidth="1"/>
    <col min="16" max="16" width="8.5703125" style="6" bestFit="1" customWidth="1"/>
    <col min="17" max="17" width="7" style="6" bestFit="1" customWidth="1"/>
    <col min="18" max="18" width="8.28515625" style="1" bestFit="1" customWidth="1"/>
    <col min="19" max="16384" width="9.140625" style="1"/>
  </cols>
  <sheetData>
    <row r="1" spans="1:19" x14ac:dyDescent="0.25">
      <c r="R1" s="13"/>
      <c r="S1" s="13" t="s">
        <v>941</v>
      </c>
    </row>
    <row r="2" spans="1:19" x14ac:dyDescent="0.25">
      <c r="A2" s="18"/>
      <c r="B2" s="14"/>
      <c r="C2" s="14"/>
      <c r="D2" s="14"/>
      <c r="E2" s="14"/>
      <c r="F2" s="14"/>
      <c r="G2" s="14"/>
      <c r="H2" s="14"/>
      <c r="I2" s="14"/>
      <c r="J2" s="14"/>
      <c r="K2" s="14"/>
      <c r="L2" s="14"/>
      <c r="M2" s="14"/>
      <c r="N2" s="15"/>
      <c r="O2" s="15"/>
      <c r="P2" s="15"/>
      <c r="Q2" s="15"/>
      <c r="S2" s="9" t="s">
        <v>989</v>
      </c>
    </row>
    <row r="3" spans="1:19" x14ac:dyDescent="0.25">
      <c r="A3" s="630" t="s">
        <v>944</v>
      </c>
      <c r="B3" s="630"/>
      <c r="C3" s="630"/>
      <c r="D3" s="630"/>
      <c r="E3" s="630"/>
      <c r="F3" s="630"/>
      <c r="G3" s="630"/>
      <c r="H3" s="630"/>
      <c r="I3" s="630"/>
      <c r="J3" s="630"/>
      <c r="K3" s="630"/>
      <c r="L3" s="630"/>
      <c r="M3" s="630"/>
      <c r="N3" s="631"/>
      <c r="O3" s="15"/>
      <c r="P3" s="15"/>
      <c r="Q3" s="15"/>
    </row>
    <row r="4" spans="1:19" s="2" customFormat="1" ht="19.5" x14ac:dyDescent="0.3">
      <c r="A4" s="630" t="s">
        <v>916</v>
      </c>
      <c r="B4" s="630"/>
      <c r="C4" s="630"/>
      <c r="D4" s="630"/>
      <c r="E4" s="630"/>
      <c r="F4" s="630"/>
      <c r="G4" s="630"/>
      <c r="H4" s="630"/>
      <c r="I4" s="630"/>
      <c r="J4" s="630"/>
      <c r="K4" s="630"/>
      <c r="L4" s="630"/>
      <c r="M4" s="630"/>
      <c r="N4" s="631"/>
      <c r="O4" s="15"/>
      <c r="P4" s="15"/>
      <c r="Q4" s="15"/>
    </row>
    <row r="5" spans="1:19" s="2" customFormat="1" ht="19.5" x14ac:dyDescent="0.3">
      <c r="B5" s="3"/>
      <c r="C5" s="3"/>
      <c r="D5" s="3"/>
      <c r="E5" s="3"/>
      <c r="F5" s="3"/>
      <c r="G5" s="3"/>
      <c r="H5" s="3"/>
      <c r="I5" s="3"/>
      <c r="J5" s="3"/>
      <c r="K5" s="3"/>
      <c r="L5" s="3"/>
      <c r="M5" s="3"/>
      <c r="N5" s="4"/>
      <c r="O5" s="4"/>
      <c r="P5" s="4"/>
      <c r="Q5" s="7"/>
      <c r="R5" s="7"/>
    </row>
    <row r="6" spans="1:19" s="5" customFormat="1" ht="33.75" customHeight="1" x14ac:dyDescent="0.2">
      <c r="A6" s="30"/>
      <c r="B6" s="626" t="s">
        <v>20</v>
      </c>
      <c r="C6" s="627"/>
      <c r="D6" s="626" t="s">
        <v>73</v>
      </c>
      <c r="E6" s="627"/>
      <c r="F6" s="626" t="s">
        <v>25</v>
      </c>
      <c r="G6" s="627"/>
      <c r="H6" s="626" t="s">
        <v>44</v>
      </c>
      <c r="I6" s="627"/>
      <c r="J6" s="626" t="s">
        <v>45</v>
      </c>
      <c r="K6" s="627"/>
      <c r="L6" s="626" t="s">
        <v>46</v>
      </c>
      <c r="M6" s="627"/>
      <c r="N6" s="626" t="s">
        <v>18</v>
      </c>
      <c r="O6" s="627"/>
      <c r="P6" s="626" t="s">
        <v>47</v>
      </c>
      <c r="Q6" s="627"/>
      <c r="R6" s="628" t="s">
        <v>21</v>
      </c>
      <c r="S6" s="629"/>
    </row>
    <row r="7" spans="1:19" s="5" customFormat="1" ht="30.75" customHeight="1" x14ac:dyDescent="0.2">
      <c r="A7" s="30"/>
      <c r="B7" s="33" t="s">
        <v>42</v>
      </c>
      <c r="C7" s="33" t="s">
        <v>984</v>
      </c>
      <c r="D7" s="33" t="s">
        <v>42</v>
      </c>
      <c r="E7" s="33" t="s">
        <v>984</v>
      </c>
      <c r="F7" s="33" t="s">
        <v>42</v>
      </c>
      <c r="G7" s="33" t="s">
        <v>984</v>
      </c>
      <c r="H7" s="33" t="s">
        <v>42</v>
      </c>
      <c r="I7" s="33" t="s">
        <v>984</v>
      </c>
      <c r="J7" s="33" t="s">
        <v>42</v>
      </c>
      <c r="K7" s="33" t="s">
        <v>984</v>
      </c>
      <c r="L7" s="33" t="s">
        <v>42</v>
      </c>
      <c r="M7" s="33" t="s">
        <v>984</v>
      </c>
      <c r="N7" s="33" t="s">
        <v>42</v>
      </c>
      <c r="O7" s="33" t="s">
        <v>984</v>
      </c>
      <c r="P7" s="33" t="s">
        <v>42</v>
      </c>
      <c r="Q7" s="33" t="s">
        <v>984</v>
      </c>
      <c r="R7" s="33" t="s">
        <v>42</v>
      </c>
      <c r="S7" s="33" t="s">
        <v>984</v>
      </c>
    </row>
    <row r="8" spans="1:19" ht="23.25" customHeight="1" x14ac:dyDescent="0.25">
      <c r="A8" s="31" t="s">
        <v>39</v>
      </c>
      <c r="B8" s="17">
        <f>380451-107964</f>
        <v>272487</v>
      </c>
      <c r="C8" s="17">
        <v>384669</v>
      </c>
      <c r="D8" s="17">
        <f>53385-14036</f>
        <v>39349</v>
      </c>
      <c r="E8" s="17">
        <v>55012</v>
      </c>
      <c r="F8" s="17">
        <v>72378</v>
      </c>
      <c r="G8" s="17">
        <v>72390</v>
      </c>
      <c r="H8" s="17">
        <v>0</v>
      </c>
      <c r="I8" s="17">
        <v>0</v>
      </c>
      <c r="J8" s="17">
        <v>0</v>
      </c>
      <c r="K8" s="17">
        <v>1606</v>
      </c>
      <c r="L8" s="17">
        <v>9017</v>
      </c>
      <c r="M8" s="17">
        <v>9017</v>
      </c>
      <c r="N8" s="17">
        <v>0</v>
      </c>
      <c r="O8" s="17">
        <v>0</v>
      </c>
      <c r="P8" s="17">
        <v>0</v>
      </c>
      <c r="Q8" s="17">
        <v>0</v>
      </c>
      <c r="R8" s="17">
        <f t="shared" ref="R8:S11" si="0">B8+D8+F8+H8+J8+L8+N8+P8</f>
        <v>393231</v>
      </c>
      <c r="S8" s="17">
        <f t="shared" si="0"/>
        <v>522694</v>
      </c>
    </row>
    <row r="9" spans="1:19" ht="26.25" x14ac:dyDescent="0.25">
      <c r="A9" s="31" t="s">
        <v>72</v>
      </c>
      <c r="B9" s="17">
        <v>35600</v>
      </c>
      <c r="C9" s="17">
        <v>35600</v>
      </c>
      <c r="D9" s="17">
        <v>4850</v>
      </c>
      <c r="E9" s="17">
        <v>4850</v>
      </c>
      <c r="F9" s="17">
        <v>3350</v>
      </c>
      <c r="G9" s="17">
        <v>3350</v>
      </c>
      <c r="H9" s="17">
        <v>0</v>
      </c>
      <c r="I9" s="17">
        <v>0</v>
      </c>
      <c r="J9" s="17">
        <v>0</v>
      </c>
      <c r="K9" s="17">
        <v>0</v>
      </c>
      <c r="L9" s="17">
        <v>200</v>
      </c>
      <c r="M9" s="17">
        <v>200</v>
      </c>
      <c r="N9" s="17">
        <v>0</v>
      </c>
      <c r="O9" s="17">
        <v>0</v>
      </c>
      <c r="P9" s="17">
        <v>0</v>
      </c>
      <c r="Q9" s="17">
        <v>0</v>
      </c>
      <c r="R9" s="17">
        <f t="shared" si="0"/>
        <v>44000</v>
      </c>
      <c r="S9" s="17">
        <f t="shared" si="0"/>
        <v>44000</v>
      </c>
    </row>
    <row r="10" spans="1:19" ht="26.25" x14ac:dyDescent="0.25">
      <c r="A10" s="31" t="s">
        <v>147</v>
      </c>
      <c r="B10" s="17">
        <v>9319</v>
      </c>
      <c r="C10" s="17">
        <v>9319</v>
      </c>
      <c r="D10" s="17">
        <v>1304</v>
      </c>
      <c r="E10" s="17">
        <v>1304</v>
      </c>
      <c r="F10" s="17">
        <v>240</v>
      </c>
      <c r="G10" s="17">
        <v>240</v>
      </c>
      <c r="H10" s="17">
        <v>0</v>
      </c>
      <c r="I10" s="17">
        <v>0</v>
      </c>
      <c r="J10" s="17">
        <v>0</v>
      </c>
      <c r="K10" s="17">
        <v>0</v>
      </c>
      <c r="L10" s="17">
        <v>0</v>
      </c>
      <c r="M10" s="17">
        <v>0</v>
      </c>
      <c r="N10" s="17">
        <v>0</v>
      </c>
      <c r="O10" s="17">
        <v>0</v>
      </c>
      <c r="P10" s="17">
        <v>0</v>
      </c>
      <c r="Q10" s="17">
        <v>0</v>
      </c>
      <c r="R10" s="17">
        <f t="shared" si="0"/>
        <v>10863</v>
      </c>
      <c r="S10" s="17">
        <f t="shared" si="0"/>
        <v>10863</v>
      </c>
    </row>
    <row r="11" spans="1:19" ht="26.25" x14ac:dyDescent="0.25">
      <c r="A11" s="31" t="s">
        <v>148</v>
      </c>
      <c r="B11" s="17">
        <v>9178</v>
      </c>
      <c r="C11" s="17">
        <v>9178</v>
      </c>
      <c r="D11" s="17">
        <v>1293</v>
      </c>
      <c r="E11" s="17">
        <v>1293</v>
      </c>
      <c r="F11" s="17">
        <v>32</v>
      </c>
      <c r="G11" s="17">
        <v>32</v>
      </c>
      <c r="H11" s="17">
        <v>0</v>
      </c>
      <c r="I11" s="17">
        <v>0</v>
      </c>
      <c r="J11" s="17">
        <v>0</v>
      </c>
      <c r="K11" s="17">
        <v>0</v>
      </c>
      <c r="L11" s="17">
        <v>0</v>
      </c>
      <c r="M11" s="17">
        <v>0</v>
      </c>
      <c r="N11" s="17">
        <v>0</v>
      </c>
      <c r="O11" s="17">
        <v>0</v>
      </c>
      <c r="P11" s="17">
        <v>0</v>
      </c>
      <c r="Q11" s="17">
        <v>0</v>
      </c>
      <c r="R11" s="17">
        <f t="shared" si="0"/>
        <v>10503</v>
      </c>
      <c r="S11" s="17">
        <f t="shared" si="0"/>
        <v>10503</v>
      </c>
    </row>
    <row r="12" spans="1:19" s="12" customFormat="1" ht="24.75" customHeight="1" x14ac:dyDescent="0.3">
      <c r="A12" s="32" t="s">
        <v>22</v>
      </c>
      <c r="B12" s="16">
        <f t="shared" ref="B12:S12" si="1">SUM(B8:B11)</f>
        <v>326584</v>
      </c>
      <c r="C12" s="16">
        <f t="shared" si="1"/>
        <v>438766</v>
      </c>
      <c r="D12" s="16">
        <f t="shared" si="1"/>
        <v>46796</v>
      </c>
      <c r="E12" s="16">
        <f t="shared" si="1"/>
        <v>62459</v>
      </c>
      <c r="F12" s="16">
        <f t="shared" si="1"/>
        <v>76000</v>
      </c>
      <c r="G12" s="16">
        <f t="shared" si="1"/>
        <v>76012</v>
      </c>
      <c r="H12" s="16">
        <f t="shared" si="1"/>
        <v>0</v>
      </c>
      <c r="I12" s="16">
        <f t="shared" si="1"/>
        <v>0</v>
      </c>
      <c r="J12" s="16">
        <f t="shared" si="1"/>
        <v>0</v>
      </c>
      <c r="K12" s="16">
        <f t="shared" si="1"/>
        <v>1606</v>
      </c>
      <c r="L12" s="16">
        <f t="shared" si="1"/>
        <v>9217</v>
      </c>
      <c r="M12" s="16">
        <f t="shared" si="1"/>
        <v>9217</v>
      </c>
      <c r="N12" s="16">
        <f t="shared" si="1"/>
        <v>0</v>
      </c>
      <c r="O12" s="16">
        <f t="shared" si="1"/>
        <v>0</v>
      </c>
      <c r="P12" s="16">
        <f t="shared" si="1"/>
        <v>0</v>
      </c>
      <c r="Q12" s="16">
        <f t="shared" si="1"/>
        <v>0</v>
      </c>
      <c r="R12" s="16">
        <f t="shared" si="1"/>
        <v>458597</v>
      </c>
      <c r="S12" s="16">
        <f t="shared" si="1"/>
        <v>588060</v>
      </c>
    </row>
  </sheetData>
  <mergeCells count="11">
    <mergeCell ref="P6:Q6"/>
    <mergeCell ref="R6:S6"/>
    <mergeCell ref="A3:N3"/>
    <mergeCell ref="A4:N4"/>
    <mergeCell ref="B6:C6"/>
    <mergeCell ref="D6:E6"/>
    <mergeCell ref="F6:G6"/>
    <mergeCell ref="H6:I6"/>
    <mergeCell ref="J6:K6"/>
    <mergeCell ref="L6:M6"/>
    <mergeCell ref="N6:O6"/>
  </mergeCells>
  <printOptions horizontalCentered="1"/>
  <pageMargins left="0.19685039370078741" right="0.19685039370078741" top="0.39370078740157483" bottom="0.39370078740157483" header="0.51181102362204722" footer="0.51181102362204722"/>
  <pageSetup paperSize="9" scale="8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1330A-FC0E-4A1C-8066-84544FA11041}">
  <sheetPr>
    <pageSetUpPr fitToPage="1"/>
  </sheetPr>
  <dimension ref="A1:F22"/>
  <sheetViews>
    <sheetView workbookViewId="0">
      <selection activeCell="F2" sqref="F2"/>
    </sheetView>
  </sheetViews>
  <sheetFormatPr defaultRowHeight="12.75" x14ac:dyDescent="0.2"/>
  <cols>
    <col min="1" max="1" width="60.28515625" style="8" bestFit="1" customWidth="1"/>
    <col min="2" max="2" width="11.85546875" style="8" customWidth="1"/>
    <col min="3" max="3" width="12.28515625" style="8" customWidth="1"/>
    <col min="4" max="4" width="10.85546875" style="8" bestFit="1" customWidth="1"/>
    <col min="5" max="5" width="18.28515625" style="8" bestFit="1" customWidth="1"/>
    <col min="6" max="6" width="13.28515625" style="8" customWidth="1"/>
    <col min="7" max="256" width="9.140625" style="8"/>
    <col min="257" max="257" width="64.28515625" style="8" bestFit="1" customWidth="1"/>
    <col min="258" max="258" width="11.85546875" style="8" customWidth="1"/>
    <col min="259" max="259" width="12.28515625" style="8" customWidth="1"/>
    <col min="260" max="260" width="10.85546875" style="8" bestFit="1" customWidth="1"/>
    <col min="261" max="261" width="18.28515625" style="8" bestFit="1" customWidth="1"/>
    <col min="262" max="262" width="13.28515625" style="8" customWidth="1"/>
    <col min="263" max="512" width="9.140625" style="8"/>
    <col min="513" max="513" width="64.28515625" style="8" bestFit="1" customWidth="1"/>
    <col min="514" max="514" width="11.85546875" style="8" customWidth="1"/>
    <col min="515" max="515" width="12.28515625" style="8" customWidth="1"/>
    <col min="516" max="516" width="10.85546875" style="8" bestFit="1" customWidth="1"/>
    <col min="517" max="517" width="18.28515625" style="8" bestFit="1" customWidth="1"/>
    <col min="518" max="518" width="13.28515625" style="8" customWidth="1"/>
    <col min="519" max="768" width="9.140625" style="8"/>
    <col min="769" max="769" width="64.28515625" style="8" bestFit="1" customWidth="1"/>
    <col min="770" max="770" width="11.85546875" style="8" customWidth="1"/>
    <col min="771" max="771" width="12.28515625" style="8" customWidth="1"/>
    <col min="772" max="772" width="10.85546875" style="8" bestFit="1" customWidth="1"/>
    <col min="773" max="773" width="18.28515625" style="8" bestFit="1" customWidth="1"/>
    <col min="774" max="774" width="13.28515625" style="8" customWidth="1"/>
    <col min="775" max="1024" width="9.140625" style="8"/>
    <col min="1025" max="1025" width="64.28515625" style="8" bestFit="1" customWidth="1"/>
    <col min="1026" max="1026" width="11.85546875" style="8" customWidth="1"/>
    <col min="1027" max="1027" width="12.28515625" style="8" customWidth="1"/>
    <col min="1028" max="1028" width="10.85546875" style="8" bestFit="1" customWidth="1"/>
    <col min="1029" max="1029" width="18.28515625" style="8" bestFit="1" customWidth="1"/>
    <col min="1030" max="1030" width="13.28515625" style="8" customWidth="1"/>
    <col min="1031" max="1280" width="9.140625" style="8"/>
    <col min="1281" max="1281" width="64.28515625" style="8" bestFit="1" customWidth="1"/>
    <col min="1282" max="1282" width="11.85546875" style="8" customWidth="1"/>
    <col min="1283" max="1283" width="12.28515625" style="8" customWidth="1"/>
    <col min="1284" max="1284" width="10.85546875" style="8" bestFit="1" customWidth="1"/>
    <col min="1285" max="1285" width="18.28515625" style="8" bestFit="1" customWidth="1"/>
    <col min="1286" max="1286" width="13.28515625" style="8" customWidth="1"/>
    <col min="1287" max="1536" width="9.140625" style="8"/>
    <col min="1537" max="1537" width="64.28515625" style="8" bestFit="1" customWidth="1"/>
    <col min="1538" max="1538" width="11.85546875" style="8" customWidth="1"/>
    <col min="1539" max="1539" width="12.28515625" style="8" customWidth="1"/>
    <col min="1540" max="1540" width="10.85546875" style="8" bestFit="1" customWidth="1"/>
    <col min="1541" max="1541" width="18.28515625" style="8" bestFit="1" customWidth="1"/>
    <col min="1542" max="1542" width="13.28515625" style="8" customWidth="1"/>
    <col min="1543" max="1792" width="9.140625" style="8"/>
    <col min="1793" max="1793" width="64.28515625" style="8" bestFit="1" customWidth="1"/>
    <col min="1794" max="1794" width="11.85546875" style="8" customWidth="1"/>
    <col min="1795" max="1795" width="12.28515625" style="8" customWidth="1"/>
    <col min="1796" max="1796" width="10.85546875" style="8" bestFit="1" customWidth="1"/>
    <col min="1797" max="1797" width="18.28515625" style="8" bestFit="1" customWidth="1"/>
    <col min="1798" max="1798" width="13.28515625" style="8" customWidth="1"/>
    <col min="1799" max="2048" width="9.140625" style="8"/>
    <col min="2049" max="2049" width="64.28515625" style="8" bestFit="1" customWidth="1"/>
    <col min="2050" max="2050" width="11.85546875" style="8" customWidth="1"/>
    <col min="2051" max="2051" width="12.28515625" style="8" customWidth="1"/>
    <col min="2052" max="2052" width="10.85546875" style="8" bestFit="1" customWidth="1"/>
    <col min="2053" max="2053" width="18.28515625" style="8" bestFit="1" customWidth="1"/>
    <col min="2054" max="2054" width="13.28515625" style="8" customWidth="1"/>
    <col min="2055" max="2304" width="9.140625" style="8"/>
    <col min="2305" max="2305" width="64.28515625" style="8" bestFit="1" customWidth="1"/>
    <col min="2306" max="2306" width="11.85546875" style="8" customWidth="1"/>
    <col min="2307" max="2307" width="12.28515625" style="8" customWidth="1"/>
    <col min="2308" max="2308" width="10.85546875" style="8" bestFit="1" customWidth="1"/>
    <col min="2309" max="2309" width="18.28515625" style="8" bestFit="1" customWidth="1"/>
    <col min="2310" max="2310" width="13.28515625" style="8" customWidth="1"/>
    <col min="2311" max="2560" width="9.140625" style="8"/>
    <col min="2561" max="2561" width="64.28515625" style="8" bestFit="1" customWidth="1"/>
    <col min="2562" max="2562" width="11.85546875" style="8" customWidth="1"/>
    <col min="2563" max="2563" width="12.28515625" style="8" customWidth="1"/>
    <col min="2564" max="2564" width="10.85546875" style="8" bestFit="1" customWidth="1"/>
    <col min="2565" max="2565" width="18.28515625" style="8" bestFit="1" customWidth="1"/>
    <col min="2566" max="2566" width="13.28515625" style="8" customWidth="1"/>
    <col min="2567" max="2816" width="9.140625" style="8"/>
    <col min="2817" max="2817" width="64.28515625" style="8" bestFit="1" customWidth="1"/>
    <col min="2818" max="2818" width="11.85546875" style="8" customWidth="1"/>
    <col min="2819" max="2819" width="12.28515625" style="8" customWidth="1"/>
    <col min="2820" max="2820" width="10.85546875" style="8" bestFit="1" customWidth="1"/>
    <col min="2821" max="2821" width="18.28515625" style="8" bestFit="1" customWidth="1"/>
    <col min="2822" max="2822" width="13.28515625" style="8" customWidth="1"/>
    <col min="2823" max="3072" width="9.140625" style="8"/>
    <col min="3073" max="3073" width="64.28515625" style="8" bestFit="1" customWidth="1"/>
    <col min="3074" max="3074" width="11.85546875" style="8" customWidth="1"/>
    <col min="3075" max="3075" width="12.28515625" style="8" customWidth="1"/>
    <col min="3076" max="3076" width="10.85546875" style="8" bestFit="1" customWidth="1"/>
    <col min="3077" max="3077" width="18.28515625" style="8" bestFit="1" customWidth="1"/>
    <col min="3078" max="3078" width="13.28515625" style="8" customWidth="1"/>
    <col min="3079" max="3328" width="9.140625" style="8"/>
    <col min="3329" max="3329" width="64.28515625" style="8" bestFit="1" customWidth="1"/>
    <col min="3330" max="3330" width="11.85546875" style="8" customWidth="1"/>
    <col min="3331" max="3331" width="12.28515625" style="8" customWidth="1"/>
    <col min="3332" max="3332" width="10.85546875" style="8" bestFit="1" customWidth="1"/>
    <col min="3333" max="3333" width="18.28515625" style="8" bestFit="1" customWidth="1"/>
    <col min="3334" max="3334" width="13.28515625" style="8" customWidth="1"/>
    <col min="3335" max="3584" width="9.140625" style="8"/>
    <col min="3585" max="3585" width="64.28515625" style="8" bestFit="1" customWidth="1"/>
    <col min="3586" max="3586" width="11.85546875" style="8" customWidth="1"/>
    <col min="3587" max="3587" width="12.28515625" style="8" customWidth="1"/>
    <col min="3588" max="3588" width="10.85546875" style="8" bestFit="1" customWidth="1"/>
    <col min="3589" max="3589" width="18.28515625" style="8" bestFit="1" customWidth="1"/>
    <col min="3590" max="3590" width="13.28515625" style="8" customWidth="1"/>
    <col min="3591" max="3840" width="9.140625" style="8"/>
    <col min="3841" max="3841" width="64.28515625" style="8" bestFit="1" customWidth="1"/>
    <col min="3842" max="3842" width="11.85546875" style="8" customWidth="1"/>
    <col min="3843" max="3843" width="12.28515625" style="8" customWidth="1"/>
    <col min="3844" max="3844" width="10.85546875" style="8" bestFit="1" customWidth="1"/>
    <col min="3845" max="3845" width="18.28515625" style="8" bestFit="1" customWidth="1"/>
    <col min="3846" max="3846" width="13.28515625" style="8" customWidth="1"/>
    <col min="3847" max="4096" width="9.140625" style="8"/>
    <col min="4097" max="4097" width="64.28515625" style="8" bestFit="1" customWidth="1"/>
    <col min="4098" max="4098" width="11.85546875" style="8" customWidth="1"/>
    <col min="4099" max="4099" width="12.28515625" style="8" customWidth="1"/>
    <col min="4100" max="4100" width="10.85546875" style="8" bestFit="1" customWidth="1"/>
    <col min="4101" max="4101" width="18.28515625" style="8" bestFit="1" customWidth="1"/>
    <col min="4102" max="4102" width="13.28515625" style="8" customWidth="1"/>
    <col min="4103" max="4352" width="9.140625" style="8"/>
    <col min="4353" max="4353" width="64.28515625" style="8" bestFit="1" customWidth="1"/>
    <col min="4354" max="4354" width="11.85546875" style="8" customWidth="1"/>
    <col min="4355" max="4355" width="12.28515625" style="8" customWidth="1"/>
    <col min="4356" max="4356" width="10.85546875" style="8" bestFit="1" customWidth="1"/>
    <col min="4357" max="4357" width="18.28515625" style="8" bestFit="1" customWidth="1"/>
    <col min="4358" max="4358" width="13.28515625" style="8" customWidth="1"/>
    <col min="4359" max="4608" width="9.140625" style="8"/>
    <col min="4609" max="4609" width="64.28515625" style="8" bestFit="1" customWidth="1"/>
    <col min="4610" max="4610" width="11.85546875" style="8" customWidth="1"/>
    <col min="4611" max="4611" width="12.28515625" style="8" customWidth="1"/>
    <col min="4612" max="4612" width="10.85546875" style="8" bestFit="1" customWidth="1"/>
    <col min="4613" max="4613" width="18.28515625" style="8" bestFit="1" customWidth="1"/>
    <col min="4614" max="4614" width="13.28515625" style="8" customWidth="1"/>
    <col min="4615" max="4864" width="9.140625" style="8"/>
    <col min="4865" max="4865" width="64.28515625" style="8" bestFit="1" customWidth="1"/>
    <col min="4866" max="4866" width="11.85546875" style="8" customWidth="1"/>
    <col min="4867" max="4867" width="12.28515625" style="8" customWidth="1"/>
    <col min="4868" max="4868" width="10.85546875" style="8" bestFit="1" customWidth="1"/>
    <col min="4869" max="4869" width="18.28515625" style="8" bestFit="1" customWidth="1"/>
    <col min="4870" max="4870" width="13.28515625" style="8" customWidth="1"/>
    <col min="4871" max="5120" width="9.140625" style="8"/>
    <col min="5121" max="5121" width="64.28515625" style="8" bestFit="1" customWidth="1"/>
    <col min="5122" max="5122" width="11.85546875" style="8" customWidth="1"/>
    <col min="5123" max="5123" width="12.28515625" style="8" customWidth="1"/>
    <col min="5124" max="5124" width="10.85546875" style="8" bestFit="1" customWidth="1"/>
    <col min="5125" max="5125" width="18.28515625" style="8" bestFit="1" customWidth="1"/>
    <col min="5126" max="5126" width="13.28515625" style="8" customWidth="1"/>
    <col min="5127" max="5376" width="9.140625" style="8"/>
    <col min="5377" max="5377" width="64.28515625" style="8" bestFit="1" customWidth="1"/>
    <col min="5378" max="5378" width="11.85546875" style="8" customWidth="1"/>
    <col min="5379" max="5379" width="12.28515625" style="8" customWidth="1"/>
    <col min="5380" max="5380" width="10.85546875" style="8" bestFit="1" customWidth="1"/>
    <col min="5381" max="5381" width="18.28515625" style="8" bestFit="1" customWidth="1"/>
    <col min="5382" max="5382" width="13.28515625" style="8" customWidth="1"/>
    <col min="5383" max="5632" width="9.140625" style="8"/>
    <col min="5633" max="5633" width="64.28515625" style="8" bestFit="1" customWidth="1"/>
    <col min="5634" max="5634" width="11.85546875" style="8" customWidth="1"/>
    <col min="5635" max="5635" width="12.28515625" style="8" customWidth="1"/>
    <col min="5636" max="5636" width="10.85546875" style="8" bestFit="1" customWidth="1"/>
    <col min="5637" max="5637" width="18.28515625" style="8" bestFit="1" customWidth="1"/>
    <col min="5638" max="5638" width="13.28515625" style="8" customWidth="1"/>
    <col min="5639" max="5888" width="9.140625" style="8"/>
    <col min="5889" max="5889" width="64.28515625" style="8" bestFit="1" customWidth="1"/>
    <col min="5890" max="5890" width="11.85546875" style="8" customWidth="1"/>
    <col min="5891" max="5891" width="12.28515625" style="8" customWidth="1"/>
    <col min="5892" max="5892" width="10.85546875" style="8" bestFit="1" customWidth="1"/>
    <col min="5893" max="5893" width="18.28515625" style="8" bestFit="1" customWidth="1"/>
    <col min="5894" max="5894" width="13.28515625" style="8" customWidth="1"/>
    <col min="5895" max="6144" width="9.140625" style="8"/>
    <col min="6145" max="6145" width="64.28515625" style="8" bestFit="1" customWidth="1"/>
    <col min="6146" max="6146" width="11.85546875" style="8" customWidth="1"/>
    <col min="6147" max="6147" width="12.28515625" style="8" customWidth="1"/>
    <col min="6148" max="6148" width="10.85546875" style="8" bestFit="1" customWidth="1"/>
    <col min="6149" max="6149" width="18.28515625" style="8" bestFit="1" customWidth="1"/>
    <col min="6150" max="6150" width="13.28515625" style="8" customWidth="1"/>
    <col min="6151" max="6400" width="9.140625" style="8"/>
    <col min="6401" max="6401" width="64.28515625" style="8" bestFit="1" customWidth="1"/>
    <col min="6402" max="6402" width="11.85546875" style="8" customWidth="1"/>
    <col min="6403" max="6403" width="12.28515625" style="8" customWidth="1"/>
    <col min="6404" max="6404" width="10.85546875" style="8" bestFit="1" customWidth="1"/>
    <col min="6405" max="6405" width="18.28515625" style="8" bestFit="1" customWidth="1"/>
    <col min="6406" max="6406" width="13.28515625" style="8" customWidth="1"/>
    <col min="6407" max="6656" width="9.140625" style="8"/>
    <col min="6657" max="6657" width="64.28515625" style="8" bestFit="1" customWidth="1"/>
    <col min="6658" max="6658" width="11.85546875" style="8" customWidth="1"/>
    <col min="6659" max="6659" width="12.28515625" style="8" customWidth="1"/>
    <col min="6660" max="6660" width="10.85546875" style="8" bestFit="1" customWidth="1"/>
    <col min="6661" max="6661" width="18.28515625" style="8" bestFit="1" customWidth="1"/>
    <col min="6662" max="6662" width="13.28515625" style="8" customWidth="1"/>
    <col min="6663" max="6912" width="9.140625" style="8"/>
    <col min="6913" max="6913" width="64.28515625" style="8" bestFit="1" customWidth="1"/>
    <col min="6914" max="6914" width="11.85546875" style="8" customWidth="1"/>
    <col min="6915" max="6915" width="12.28515625" style="8" customWidth="1"/>
    <col min="6916" max="6916" width="10.85546875" style="8" bestFit="1" customWidth="1"/>
    <col min="6917" max="6917" width="18.28515625" style="8" bestFit="1" customWidth="1"/>
    <col min="6918" max="6918" width="13.28515625" style="8" customWidth="1"/>
    <col min="6919" max="7168" width="9.140625" style="8"/>
    <col min="7169" max="7169" width="64.28515625" style="8" bestFit="1" customWidth="1"/>
    <col min="7170" max="7170" width="11.85546875" style="8" customWidth="1"/>
    <col min="7171" max="7171" width="12.28515625" style="8" customWidth="1"/>
    <col min="7172" max="7172" width="10.85546875" style="8" bestFit="1" customWidth="1"/>
    <col min="7173" max="7173" width="18.28515625" style="8" bestFit="1" customWidth="1"/>
    <col min="7174" max="7174" width="13.28515625" style="8" customWidth="1"/>
    <col min="7175" max="7424" width="9.140625" style="8"/>
    <col min="7425" max="7425" width="64.28515625" style="8" bestFit="1" customWidth="1"/>
    <col min="7426" max="7426" width="11.85546875" style="8" customWidth="1"/>
    <col min="7427" max="7427" width="12.28515625" style="8" customWidth="1"/>
    <col min="7428" max="7428" width="10.85546875" style="8" bestFit="1" customWidth="1"/>
    <col min="7429" max="7429" width="18.28515625" style="8" bestFit="1" customWidth="1"/>
    <col min="7430" max="7430" width="13.28515625" style="8" customWidth="1"/>
    <col min="7431" max="7680" width="9.140625" style="8"/>
    <col min="7681" max="7681" width="64.28515625" style="8" bestFit="1" customWidth="1"/>
    <col min="7682" max="7682" width="11.85546875" style="8" customWidth="1"/>
    <col min="7683" max="7683" width="12.28515625" style="8" customWidth="1"/>
    <col min="7684" max="7684" width="10.85546875" style="8" bestFit="1" customWidth="1"/>
    <col min="7685" max="7685" width="18.28515625" style="8" bestFit="1" customWidth="1"/>
    <col min="7686" max="7686" width="13.28515625" style="8" customWidth="1"/>
    <col min="7687" max="7936" width="9.140625" style="8"/>
    <col min="7937" max="7937" width="64.28515625" style="8" bestFit="1" customWidth="1"/>
    <col min="7938" max="7938" width="11.85546875" style="8" customWidth="1"/>
    <col min="7939" max="7939" width="12.28515625" style="8" customWidth="1"/>
    <col min="7940" max="7940" width="10.85546875" style="8" bestFit="1" customWidth="1"/>
    <col min="7941" max="7941" width="18.28515625" style="8" bestFit="1" customWidth="1"/>
    <col min="7942" max="7942" width="13.28515625" style="8" customWidth="1"/>
    <col min="7943" max="8192" width="9.140625" style="8"/>
    <col min="8193" max="8193" width="64.28515625" style="8" bestFit="1" customWidth="1"/>
    <col min="8194" max="8194" width="11.85546875" style="8" customWidth="1"/>
    <col min="8195" max="8195" width="12.28515625" style="8" customWidth="1"/>
    <col min="8196" max="8196" width="10.85546875" style="8" bestFit="1" customWidth="1"/>
    <col min="8197" max="8197" width="18.28515625" style="8" bestFit="1" customWidth="1"/>
    <col min="8198" max="8198" width="13.28515625" style="8" customWidth="1"/>
    <col min="8199" max="8448" width="9.140625" style="8"/>
    <col min="8449" max="8449" width="64.28515625" style="8" bestFit="1" customWidth="1"/>
    <col min="8450" max="8450" width="11.85546875" style="8" customWidth="1"/>
    <col min="8451" max="8451" width="12.28515625" style="8" customWidth="1"/>
    <col min="8452" max="8452" width="10.85546875" style="8" bestFit="1" customWidth="1"/>
    <col min="8453" max="8453" width="18.28515625" style="8" bestFit="1" customWidth="1"/>
    <col min="8454" max="8454" width="13.28515625" style="8" customWidth="1"/>
    <col min="8455" max="8704" width="9.140625" style="8"/>
    <col min="8705" max="8705" width="64.28515625" style="8" bestFit="1" customWidth="1"/>
    <col min="8706" max="8706" width="11.85546875" style="8" customWidth="1"/>
    <col min="8707" max="8707" width="12.28515625" style="8" customWidth="1"/>
    <col min="8708" max="8708" width="10.85546875" style="8" bestFit="1" customWidth="1"/>
    <col min="8709" max="8709" width="18.28515625" style="8" bestFit="1" customWidth="1"/>
    <col min="8710" max="8710" width="13.28515625" style="8" customWidth="1"/>
    <col min="8711" max="8960" width="9.140625" style="8"/>
    <col min="8961" max="8961" width="64.28515625" style="8" bestFit="1" customWidth="1"/>
    <col min="8962" max="8962" width="11.85546875" style="8" customWidth="1"/>
    <col min="8963" max="8963" width="12.28515625" style="8" customWidth="1"/>
    <col min="8964" max="8964" width="10.85546875" style="8" bestFit="1" customWidth="1"/>
    <col min="8965" max="8965" width="18.28515625" style="8" bestFit="1" customWidth="1"/>
    <col min="8966" max="8966" width="13.28515625" style="8" customWidth="1"/>
    <col min="8967" max="9216" width="9.140625" style="8"/>
    <col min="9217" max="9217" width="64.28515625" style="8" bestFit="1" customWidth="1"/>
    <col min="9218" max="9218" width="11.85546875" style="8" customWidth="1"/>
    <col min="9219" max="9219" width="12.28515625" style="8" customWidth="1"/>
    <col min="9220" max="9220" width="10.85546875" style="8" bestFit="1" customWidth="1"/>
    <col min="9221" max="9221" width="18.28515625" style="8" bestFit="1" customWidth="1"/>
    <col min="9222" max="9222" width="13.28515625" style="8" customWidth="1"/>
    <col min="9223" max="9472" width="9.140625" style="8"/>
    <col min="9473" max="9473" width="64.28515625" style="8" bestFit="1" customWidth="1"/>
    <col min="9474" max="9474" width="11.85546875" style="8" customWidth="1"/>
    <col min="9475" max="9475" width="12.28515625" style="8" customWidth="1"/>
    <col min="9476" max="9476" width="10.85546875" style="8" bestFit="1" customWidth="1"/>
    <col min="9477" max="9477" width="18.28515625" style="8" bestFit="1" customWidth="1"/>
    <col min="9478" max="9478" width="13.28515625" style="8" customWidth="1"/>
    <col min="9479" max="9728" width="9.140625" style="8"/>
    <col min="9729" max="9729" width="64.28515625" style="8" bestFit="1" customWidth="1"/>
    <col min="9730" max="9730" width="11.85546875" style="8" customWidth="1"/>
    <col min="9731" max="9731" width="12.28515625" style="8" customWidth="1"/>
    <col min="9732" max="9732" width="10.85546875" style="8" bestFit="1" customWidth="1"/>
    <col min="9733" max="9733" width="18.28515625" style="8" bestFit="1" customWidth="1"/>
    <col min="9734" max="9734" width="13.28515625" style="8" customWidth="1"/>
    <col min="9735" max="9984" width="9.140625" style="8"/>
    <col min="9985" max="9985" width="64.28515625" style="8" bestFit="1" customWidth="1"/>
    <col min="9986" max="9986" width="11.85546875" style="8" customWidth="1"/>
    <col min="9987" max="9987" width="12.28515625" style="8" customWidth="1"/>
    <col min="9988" max="9988" width="10.85546875" style="8" bestFit="1" customWidth="1"/>
    <col min="9989" max="9989" width="18.28515625" style="8" bestFit="1" customWidth="1"/>
    <col min="9990" max="9990" width="13.28515625" style="8" customWidth="1"/>
    <col min="9991" max="10240" width="9.140625" style="8"/>
    <col min="10241" max="10241" width="64.28515625" style="8" bestFit="1" customWidth="1"/>
    <col min="10242" max="10242" width="11.85546875" style="8" customWidth="1"/>
    <col min="10243" max="10243" width="12.28515625" style="8" customWidth="1"/>
    <col min="10244" max="10244" width="10.85546875" style="8" bestFit="1" customWidth="1"/>
    <col min="10245" max="10245" width="18.28515625" style="8" bestFit="1" customWidth="1"/>
    <col min="10246" max="10246" width="13.28515625" style="8" customWidth="1"/>
    <col min="10247" max="10496" width="9.140625" style="8"/>
    <col min="10497" max="10497" width="64.28515625" style="8" bestFit="1" customWidth="1"/>
    <col min="10498" max="10498" width="11.85546875" style="8" customWidth="1"/>
    <col min="10499" max="10499" width="12.28515625" style="8" customWidth="1"/>
    <col min="10500" max="10500" width="10.85546875" style="8" bestFit="1" customWidth="1"/>
    <col min="10501" max="10501" width="18.28515625" style="8" bestFit="1" customWidth="1"/>
    <col min="10502" max="10502" width="13.28515625" style="8" customWidth="1"/>
    <col min="10503" max="10752" width="9.140625" style="8"/>
    <col min="10753" max="10753" width="64.28515625" style="8" bestFit="1" customWidth="1"/>
    <col min="10754" max="10754" width="11.85546875" style="8" customWidth="1"/>
    <col min="10755" max="10755" width="12.28515625" style="8" customWidth="1"/>
    <col min="10756" max="10756" width="10.85546875" style="8" bestFit="1" customWidth="1"/>
    <col min="10757" max="10757" width="18.28515625" style="8" bestFit="1" customWidth="1"/>
    <col min="10758" max="10758" width="13.28515625" style="8" customWidth="1"/>
    <col min="10759" max="11008" width="9.140625" style="8"/>
    <col min="11009" max="11009" width="64.28515625" style="8" bestFit="1" customWidth="1"/>
    <col min="11010" max="11010" width="11.85546875" style="8" customWidth="1"/>
    <col min="11011" max="11011" width="12.28515625" style="8" customWidth="1"/>
    <col min="11012" max="11012" width="10.85546875" style="8" bestFit="1" customWidth="1"/>
    <col min="11013" max="11013" width="18.28515625" style="8" bestFit="1" customWidth="1"/>
    <col min="11014" max="11014" width="13.28515625" style="8" customWidth="1"/>
    <col min="11015" max="11264" width="9.140625" style="8"/>
    <col min="11265" max="11265" width="64.28515625" style="8" bestFit="1" customWidth="1"/>
    <col min="11266" max="11266" width="11.85546875" style="8" customWidth="1"/>
    <col min="11267" max="11267" width="12.28515625" style="8" customWidth="1"/>
    <col min="11268" max="11268" width="10.85546875" style="8" bestFit="1" customWidth="1"/>
    <col min="11269" max="11269" width="18.28515625" style="8" bestFit="1" customWidth="1"/>
    <col min="11270" max="11270" width="13.28515625" style="8" customWidth="1"/>
    <col min="11271" max="11520" width="9.140625" style="8"/>
    <col min="11521" max="11521" width="64.28515625" style="8" bestFit="1" customWidth="1"/>
    <col min="11522" max="11522" width="11.85546875" style="8" customWidth="1"/>
    <col min="11523" max="11523" width="12.28515625" style="8" customWidth="1"/>
    <col min="11524" max="11524" width="10.85546875" style="8" bestFit="1" customWidth="1"/>
    <col min="11525" max="11525" width="18.28515625" style="8" bestFit="1" customWidth="1"/>
    <col min="11526" max="11526" width="13.28515625" style="8" customWidth="1"/>
    <col min="11527" max="11776" width="9.140625" style="8"/>
    <col min="11777" max="11777" width="64.28515625" style="8" bestFit="1" customWidth="1"/>
    <col min="11778" max="11778" width="11.85546875" style="8" customWidth="1"/>
    <col min="11779" max="11779" width="12.28515625" style="8" customWidth="1"/>
    <col min="11780" max="11780" width="10.85546875" style="8" bestFit="1" customWidth="1"/>
    <col min="11781" max="11781" width="18.28515625" style="8" bestFit="1" customWidth="1"/>
    <col min="11782" max="11782" width="13.28515625" style="8" customWidth="1"/>
    <col min="11783" max="12032" width="9.140625" style="8"/>
    <col min="12033" max="12033" width="64.28515625" style="8" bestFit="1" customWidth="1"/>
    <col min="12034" max="12034" width="11.85546875" style="8" customWidth="1"/>
    <col min="12035" max="12035" width="12.28515625" style="8" customWidth="1"/>
    <col min="12036" max="12036" width="10.85546875" style="8" bestFit="1" customWidth="1"/>
    <col min="12037" max="12037" width="18.28515625" style="8" bestFit="1" customWidth="1"/>
    <col min="12038" max="12038" width="13.28515625" style="8" customWidth="1"/>
    <col min="12039" max="12288" width="9.140625" style="8"/>
    <col min="12289" max="12289" width="64.28515625" style="8" bestFit="1" customWidth="1"/>
    <col min="12290" max="12290" width="11.85546875" style="8" customWidth="1"/>
    <col min="12291" max="12291" width="12.28515625" style="8" customWidth="1"/>
    <col min="12292" max="12292" width="10.85546875" style="8" bestFit="1" customWidth="1"/>
    <col min="12293" max="12293" width="18.28515625" style="8" bestFit="1" customWidth="1"/>
    <col min="12294" max="12294" width="13.28515625" style="8" customWidth="1"/>
    <col min="12295" max="12544" width="9.140625" style="8"/>
    <col min="12545" max="12545" width="64.28515625" style="8" bestFit="1" customWidth="1"/>
    <col min="12546" max="12546" width="11.85546875" style="8" customWidth="1"/>
    <col min="12547" max="12547" width="12.28515625" style="8" customWidth="1"/>
    <col min="12548" max="12548" width="10.85546875" style="8" bestFit="1" customWidth="1"/>
    <col min="12549" max="12549" width="18.28515625" style="8" bestFit="1" customWidth="1"/>
    <col min="12550" max="12550" width="13.28515625" style="8" customWidth="1"/>
    <col min="12551" max="12800" width="9.140625" style="8"/>
    <col min="12801" max="12801" width="64.28515625" style="8" bestFit="1" customWidth="1"/>
    <col min="12802" max="12802" width="11.85546875" style="8" customWidth="1"/>
    <col min="12803" max="12803" width="12.28515625" style="8" customWidth="1"/>
    <col min="12804" max="12804" width="10.85546875" style="8" bestFit="1" customWidth="1"/>
    <col min="12805" max="12805" width="18.28515625" style="8" bestFit="1" customWidth="1"/>
    <col min="12806" max="12806" width="13.28515625" style="8" customWidth="1"/>
    <col min="12807" max="13056" width="9.140625" style="8"/>
    <col min="13057" max="13057" width="64.28515625" style="8" bestFit="1" customWidth="1"/>
    <col min="13058" max="13058" width="11.85546875" style="8" customWidth="1"/>
    <col min="13059" max="13059" width="12.28515625" style="8" customWidth="1"/>
    <col min="13060" max="13060" width="10.85546875" style="8" bestFit="1" customWidth="1"/>
    <col min="13061" max="13061" width="18.28515625" style="8" bestFit="1" customWidth="1"/>
    <col min="13062" max="13062" width="13.28515625" style="8" customWidth="1"/>
    <col min="13063" max="13312" width="9.140625" style="8"/>
    <col min="13313" max="13313" width="64.28515625" style="8" bestFit="1" customWidth="1"/>
    <col min="13314" max="13314" width="11.85546875" style="8" customWidth="1"/>
    <col min="13315" max="13315" width="12.28515625" style="8" customWidth="1"/>
    <col min="13316" max="13316" width="10.85546875" style="8" bestFit="1" customWidth="1"/>
    <col min="13317" max="13317" width="18.28515625" style="8" bestFit="1" customWidth="1"/>
    <col min="13318" max="13318" width="13.28515625" style="8" customWidth="1"/>
    <col min="13319" max="13568" width="9.140625" style="8"/>
    <col min="13569" max="13569" width="64.28515625" style="8" bestFit="1" customWidth="1"/>
    <col min="13570" max="13570" width="11.85546875" style="8" customWidth="1"/>
    <col min="13571" max="13571" width="12.28515625" style="8" customWidth="1"/>
    <col min="13572" max="13572" width="10.85546875" style="8" bestFit="1" customWidth="1"/>
    <col min="13573" max="13573" width="18.28515625" style="8" bestFit="1" customWidth="1"/>
    <col min="13574" max="13574" width="13.28515625" style="8" customWidth="1"/>
    <col min="13575" max="13824" width="9.140625" style="8"/>
    <col min="13825" max="13825" width="64.28515625" style="8" bestFit="1" customWidth="1"/>
    <col min="13826" max="13826" width="11.85546875" style="8" customWidth="1"/>
    <col min="13827" max="13827" width="12.28515625" style="8" customWidth="1"/>
    <col min="13828" max="13828" width="10.85546875" style="8" bestFit="1" customWidth="1"/>
    <col min="13829" max="13829" width="18.28515625" style="8" bestFit="1" customWidth="1"/>
    <col min="13830" max="13830" width="13.28515625" style="8" customWidth="1"/>
    <col min="13831" max="14080" width="9.140625" style="8"/>
    <col min="14081" max="14081" width="64.28515625" style="8" bestFit="1" customWidth="1"/>
    <col min="14082" max="14082" width="11.85546875" style="8" customWidth="1"/>
    <col min="14083" max="14083" width="12.28515625" style="8" customWidth="1"/>
    <col min="14084" max="14084" width="10.85546875" style="8" bestFit="1" customWidth="1"/>
    <col min="14085" max="14085" width="18.28515625" style="8" bestFit="1" customWidth="1"/>
    <col min="14086" max="14086" width="13.28515625" style="8" customWidth="1"/>
    <col min="14087" max="14336" width="9.140625" style="8"/>
    <col min="14337" max="14337" width="64.28515625" style="8" bestFit="1" customWidth="1"/>
    <col min="14338" max="14338" width="11.85546875" style="8" customWidth="1"/>
    <col min="14339" max="14339" width="12.28515625" style="8" customWidth="1"/>
    <col min="14340" max="14340" width="10.85546875" style="8" bestFit="1" customWidth="1"/>
    <col min="14341" max="14341" width="18.28515625" style="8" bestFit="1" customWidth="1"/>
    <col min="14342" max="14342" width="13.28515625" style="8" customWidth="1"/>
    <col min="14343" max="14592" width="9.140625" style="8"/>
    <col min="14593" max="14593" width="64.28515625" style="8" bestFit="1" customWidth="1"/>
    <col min="14594" max="14594" width="11.85546875" style="8" customWidth="1"/>
    <col min="14595" max="14595" width="12.28515625" style="8" customWidth="1"/>
    <col min="14596" max="14596" width="10.85546875" style="8" bestFit="1" customWidth="1"/>
    <col min="14597" max="14597" width="18.28515625" style="8" bestFit="1" customWidth="1"/>
    <col min="14598" max="14598" width="13.28515625" style="8" customWidth="1"/>
    <col min="14599" max="14848" width="9.140625" style="8"/>
    <col min="14849" max="14849" width="64.28515625" style="8" bestFit="1" customWidth="1"/>
    <col min="14850" max="14850" width="11.85546875" style="8" customWidth="1"/>
    <col min="14851" max="14851" width="12.28515625" style="8" customWidth="1"/>
    <col min="14852" max="14852" width="10.85546875" style="8" bestFit="1" customWidth="1"/>
    <col min="14853" max="14853" width="18.28515625" style="8" bestFit="1" customWidth="1"/>
    <col min="14854" max="14854" width="13.28515625" style="8" customWidth="1"/>
    <col min="14855" max="15104" width="9.140625" style="8"/>
    <col min="15105" max="15105" width="64.28515625" style="8" bestFit="1" customWidth="1"/>
    <col min="15106" max="15106" width="11.85546875" style="8" customWidth="1"/>
    <col min="15107" max="15107" width="12.28515625" style="8" customWidth="1"/>
    <col min="15108" max="15108" width="10.85546875" style="8" bestFit="1" customWidth="1"/>
    <col min="15109" max="15109" width="18.28515625" style="8" bestFit="1" customWidth="1"/>
    <col min="15110" max="15110" width="13.28515625" style="8" customWidth="1"/>
    <col min="15111" max="15360" width="9.140625" style="8"/>
    <col min="15361" max="15361" width="64.28515625" style="8" bestFit="1" customWidth="1"/>
    <col min="15362" max="15362" width="11.85546875" style="8" customWidth="1"/>
    <col min="15363" max="15363" width="12.28515625" style="8" customWidth="1"/>
    <col min="15364" max="15364" width="10.85546875" style="8" bestFit="1" customWidth="1"/>
    <col min="15365" max="15365" width="18.28515625" style="8" bestFit="1" customWidth="1"/>
    <col min="15366" max="15366" width="13.28515625" style="8" customWidth="1"/>
    <col min="15367" max="15616" width="9.140625" style="8"/>
    <col min="15617" max="15617" width="64.28515625" style="8" bestFit="1" customWidth="1"/>
    <col min="15618" max="15618" width="11.85546875" style="8" customWidth="1"/>
    <col min="15619" max="15619" width="12.28515625" style="8" customWidth="1"/>
    <col min="15620" max="15620" width="10.85546875" style="8" bestFit="1" customWidth="1"/>
    <col min="15621" max="15621" width="18.28515625" style="8" bestFit="1" customWidth="1"/>
    <col min="15622" max="15622" width="13.28515625" style="8" customWidth="1"/>
    <col min="15623" max="15872" width="9.140625" style="8"/>
    <col min="15873" max="15873" width="64.28515625" style="8" bestFit="1" customWidth="1"/>
    <col min="15874" max="15874" width="11.85546875" style="8" customWidth="1"/>
    <col min="15875" max="15875" width="12.28515625" style="8" customWidth="1"/>
    <col min="15876" max="15876" width="10.85546875" style="8" bestFit="1" customWidth="1"/>
    <col min="15877" max="15877" width="18.28515625" style="8" bestFit="1" customWidth="1"/>
    <col min="15878" max="15878" width="13.28515625" style="8" customWidth="1"/>
    <col min="15879" max="16128" width="9.140625" style="8"/>
    <col min="16129" max="16129" width="64.28515625" style="8" bestFit="1" customWidth="1"/>
    <col min="16130" max="16130" width="11.85546875" style="8" customWidth="1"/>
    <col min="16131" max="16131" width="12.28515625" style="8" customWidth="1"/>
    <col min="16132" max="16132" width="10.85546875" style="8" bestFit="1" customWidth="1"/>
    <col min="16133" max="16133" width="18.28515625" style="8" bestFit="1" customWidth="1"/>
    <col min="16134" max="16134" width="13.28515625" style="8" customWidth="1"/>
    <col min="16135" max="16384" width="9.140625" style="8"/>
  </cols>
  <sheetData>
    <row r="1" spans="1:6" ht="16.5" customHeight="1" x14ac:dyDescent="0.25">
      <c r="B1" s="20"/>
      <c r="C1" s="20"/>
      <c r="D1" s="20"/>
      <c r="E1" s="20"/>
      <c r="F1" s="13" t="s">
        <v>945</v>
      </c>
    </row>
    <row r="2" spans="1:6" ht="15" x14ac:dyDescent="0.2">
      <c r="A2" s="555"/>
      <c r="B2" s="555"/>
      <c r="C2" s="555"/>
      <c r="D2" s="555"/>
      <c r="E2" s="555"/>
    </row>
    <row r="3" spans="1:6" ht="16.5" x14ac:dyDescent="0.25">
      <c r="A3" s="632" t="s">
        <v>917</v>
      </c>
      <c r="B3" s="632"/>
      <c r="C3" s="632"/>
      <c r="D3" s="632"/>
      <c r="E3" s="632"/>
      <c r="F3" s="632"/>
    </row>
    <row r="4" spans="1:6" ht="16.5" x14ac:dyDescent="0.25">
      <c r="A4" s="632" t="s">
        <v>933</v>
      </c>
      <c r="B4" s="632"/>
      <c r="C4" s="632"/>
      <c r="D4" s="632"/>
      <c r="E4" s="632"/>
      <c r="F4" s="632"/>
    </row>
    <row r="5" spans="1:6" ht="16.5" x14ac:dyDescent="0.25">
      <c r="A5" s="633" t="s">
        <v>918</v>
      </c>
      <c r="B5" s="634" t="s">
        <v>919</v>
      </c>
      <c r="C5" s="634"/>
      <c r="D5" s="634"/>
      <c r="E5" s="634"/>
      <c r="F5" s="634"/>
    </row>
    <row r="6" spans="1:6" ht="66" x14ac:dyDescent="0.2">
      <c r="A6" s="633"/>
      <c r="B6" s="556" t="s">
        <v>920</v>
      </c>
      <c r="C6" s="556" t="s">
        <v>921</v>
      </c>
      <c r="D6" s="556" t="s">
        <v>922</v>
      </c>
      <c r="E6" s="557" t="s">
        <v>923</v>
      </c>
      <c r="F6" s="557" t="s">
        <v>219</v>
      </c>
    </row>
    <row r="7" spans="1:6" ht="16.5" x14ac:dyDescent="0.25">
      <c r="A7" s="558"/>
      <c r="B7" s="558"/>
      <c r="C7" s="558"/>
      <c r="D7" s="559"/>
      <c r="E7" s="560"/>
      <c r="F7" s="560"/>
    </row>
    <row r="8" spans="1:6" s="391" customFormat="1" ht="16.5" x14ac:dyDescent="0.25">
      <c r="A8" s="561" t="s">
        <v>817</v>
      </c>
      <c r="B8" s="561">
        <f>SUM(B9:B13)</f>
        <v>52</v>
      </c>
      <c r="C8" s="561">
        <f t="shared" ref="C8:F8" si="0">SUM(C9:C13)</f>
        <v>31</v>
      </c>
      <c r="D8" s="561">
        <f t="shared" si="0"/>
        <v>7</v>
      </c>
      <c r="E8" s="561">
        <f t="shared" si="0"/>
        <v>5</v>
      </c>
      <c r="F8" s="561">
        <f t="shared" si="0"/>
        <v>95</v>
      </c>
    </row>
    <row r="9" spans="1:6" ht="16.5" x14ac:dyDescent="0.25">
      <c r="A9" s="558" t="s">
        <v>924</v>
      </c>
      <c r="B9" s="558">
        <v>13</v>
      </c>
      <c r="C9" s="558">
        <v>10</v>
      </c>
      <c r="D9" s="558">
        <v>3</v>
      </c>
      <c r="E9" s="560">
        <v>1</v>
      </c>
      <c r="F9" s="560">
        <f t="shared" ref="F9:F14" si="1">SUM(B9:E9)</f>
        <v>27</v>
      </c>
    </row>
    <row r="10" spans="1:6" ht="16.5" x14ac:dyDescent="0.25">
      <c r="A10" s="558" t="s">
        <v>925</v>
      </c>
      <c r="B10" s="558">
        <v>8</v>
      </c>
      <c r="C10" s="558">
        <v>6</v>
      </c>
      <c r="D10" s="558">
        <v>1</v>
      </c>
      <c r="E10" s="560">
        <v>2</v>
      </c>
      <c r="F10" s="560">
        <f t="shared" si="1"/>
        <v>17</v>
      </c>
    </row>
    <row r="11" spans="1:6" ht="16.5" x14ac:dyDescent="0.25">
      <c r="A11" s="558" t="s">
        <v>926</v>
      </c>
      <c r="B11" s="558">
        <v>12</v>
      </c>
      <c r="C11" s="558">
        <v>9</v>
      </c>
      <c r="D11" s="558">
        <v>2</v>
      </c>
      <c r="E11" s="560">
        <v>1</v>
      </c>
      <c r="F11" s="560">
        <f t="shared" si="1"/>
        <v>24</v>
      </c>
    </row>
    <row r="12" spans="1:6" ht="16.5" x14ac:dyDescent="0.25">
      <c r="A12" s="558" t="s">
        <v>927</v>
      </c>
      <c r="B12" s="558">
        <v>17</v>
      </c>
      <c r="C12" s="558">
        <v>4</v>
      </c>
      <c r="D12" s="558">
        <v>1</v>
      </c>
      <c r="E12" s="560">
        <v>1</v>
      </c>
      <c r="F12" s="560">
        <f t="shared" si="1"/>
        <v>23</v>
      </c>
    </row>
    <row r="13" spans="1:6" ht="16.5" x14ac:dyDescent="0.25">
      <c r="A13" s="558" t="s">
        <v>934</v>
      </c>
      <c r="B13" s="558">
        <v>2</v>
      </c>
      <c r="C13" s="558">
        <v>2</v>
      </c>
      <c r="D13" s="558">
        <v>0</v>
      </c>
      <c r="E13" s="560">
        <v>0</v>
      </c>
      <c r="F13" s="560">
        <f t="shared" si="1"/>
        <v>4</v>
      </c>
    </row>
    <row r="14" spans="1:6" s="391" customFormat="1" ht="16.5" x14ac:dyDescent="0.25">
      <c r="A14" s="561" t="s">
        <v>928</v>
      </c>
      <c r="B14" s="561">
        <v>8</v>
      </c>
      <c r="C14" s="561">
        <v>11</v>
      </c>
      <c r="D14" s="561">
        <v>0</v>
      </c>
      <c r="E14" s="562">
        <v>0</v>
      </c>
      <c r="F14" s="562">
        <f t="shared" si="1"/>
        <v>19</v>
      </c>
    </row>
    <row r="15" spans="1:6" ht="16.5" x14ac:dyDescent="0.25">
      <c r="A15" s="561" t="s">
        <v>43</v>
      </c>
      <c r="B15" s="561">
        <f>SUM(B16:B19)</f>
        <v>85</v>
      </c>
      <c r="C15" s="561">
        <f t="shared" ref="C15:F15" si="2">SUM(C16:C19)</f>
        <v>0</v>
      </c>
      <c r="D15" s="561">
        <f t="shared" si="2"/>
        <v>0</v>
      </c>
      <c r="E15" s="561">
        <f t="shared" si="2"/>
        <v>4</v>
      </c>
      <c r="F15" s="561">
        <f t="shared" si="2"/>
        <v>89</v>
      </c>
    </row>
    <row r="16" spans="1:6" ht="16.5" x14ac:dyDescent="0.25">
      <c r="A16" s="558" t="s">
        <v>929</v>
      </c>
      <c r="B16" s="558">
        <v>72</v>
      </c>
      <c r="C16" s="558">
        <v>0</v>
      </c>
      <c r="D16" s="558">
        <v>0</v>
      </c>
      <c r="E16" s="560">
        <v>4</v>
      </c>
      <c r="F16" s="560">
        <f>SUM(B16:E16)</f>
        <v>76</v>
      </c>
    </row>
    <row r="17" spans="1:6" ht="16.5" x14ac:dyDescent="0.25">
      <c r="A17" s="558" t="s">
        <v>930</v>
      </c>
      <c r="B17" s="558">
        <v>7</v>
      </c>
      <c r="C17" s="558">
        <v>0</v>
      </c>
      <c r="D17" s="558">
        <v>0</v>
      </c>
      <c r="E17" s="560">
        <v>0</v>
      </c>
      <c r="F17" s="560">
        <f>SUM(B17:E17)</f>
        <v>7</v>
      </c>
    </row>
    <row r="18" spans="1:6" ht="16.5" x14ac:dyDescent="0.25">
      <c r="A18" s="558" t="s">
        <v>931</v>
      </c>
      <c r="B18" s="558">
        <v>3</v>
      </c>
      <c r="C18" s="558">
        <v>0</v>
      </c>
      <c r="D18" s="558">
        <v>0</v>
      </c>
      <c r="E18" s="560">
        <v>0</v>
      </c>
      <c r="F18" s="560">
        <f>SUM(B18:E18)</f>
        <v>3</v>
      </c>
    </row>
    <row r="19" spans="1:6" ht="16.5" x14ac:dyDescent="0.25">
      <c r="A19" s="558" t="s">
        <v>932</v>
      </c>
      <c r="B19" s="558">
        <v>3</v>
      </c>
      <c r="C19" s="558">
        <v>0</v>
      </c>
      <c r="D19" s="558">
        <v>0</v>
      </c>
      <c r="E19" s="560">
        <v>0</v>
      </c>
      <c r="F19" s="560">
        <f>SUM(B19:E19)</f>
        <v>3</v>
      </c>
    </row>
    <row r="20" spans="1:6" s="391" customFormat="1" ht="16.5" x14ac:dyDescent="0.25">
      <c r="A20" s="561" t="s">
        <v>29</v>
      </c>
      <c r="B20" s="561">
        <v>13</v>
      </c>
      <c r="C20" s="561">
        <v>0</v>
      </c>
      <c r="D20" s="561">
        <v>17</v>
      </c>
      <c r="E20" s="562">
        <v>1</v>
      </c>
      <c r="F20" s="562">
        <f>SUM(B20:E20)</f>
        <v>31</v>
      </c>
    </row>
    <row r="21" spans="1:6" ht="16.5" x14ac:dyDescent="0.25">
      <c r="A21" s="558"/>
      <c r="B21" s="558"/>
      <c r="C21" s="558"/>
      <c r="D21" s="558"/>
      <c r="E21" s="560"/>
      <c r="F21" s="560"/>
    </row>
    <row r="22" spans="1:6" ht="16.5" x14ac:dyDescent="0.25">
      <c r="A22" s="561" t="s">
        <v>22</v>
      </c>
      <c r="B22" s="563">
        <f>B8+B14+B15+B20</f>
        <v>158</v>
      </c>
      <c r="C22" s="563">
        <f t="shared" ref="C22:F22" si="3">C8+C14+C15+C20</f>
        <v>42</v>
      </c>
      <c r="D22" s="563">
        <f t="shared" si="3"/>
        <v>24</v>
      </c>
      <c r="E22" s="563">
        <f t="shared" si="3"/>
        <v>10</v>
      </c>
      <c r="F22" s="563">
        <f t="shared" si="3"/>
        <v>234</v>
      </c>
    </row>
  </sheetData>
  <mergeCells count="4">
    <mergeCell ref="A3:F3"/>
    <mergeCell ref="A4:F4"/>
    <mergeCell ref="A5:A6"/>
    <mergeCell ref="B5:F5"/>
  </mergeCells>
  <pageMargins left="0.7" right="0.7" top="0.75" bottom="0.75" header="0.3" footer="0.3"/>
  <pageSetup paperSize="9"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0BD7B-2384-4142-A7E3-D3A29B7DA3A3}">
  <sheetPr>
    <pageSetUpPr fitToPage="1"/>
  </sheetPr>
  <dimension ref="A1:K32"/>
  <sheetViews>
    <sheetView view="pageBreakPreview" zoomScale="110" zoomScaleNormal="100" zoomScaleSheetLayoutView="110" workbookViewId="0">
      <selection activeCell="K2" sqref="K2"/>
    </sheetView>
  </sheetViews>
  <sheetFormatPr defaultRowHeight="12.75" x14ac:dyDescent="0.2"/>
  <cols>
    <col min="1" max="1" width="40" style="8" customWidth="1"/>
    <col min="2" max="5" width="10.42578125" style="8" customWidth="1"/>
    <col min="6" max="6" width="4.7109375" style="8" customWidth="1"/>
    <col min="7" max="7" width="32.42578125" style="8" customWidth="1"/>
    <col min="8" max="8" width="10.42578125" style="8" customWidth="1"/>
    <col min="9" max="9" width="10.7109375" style="8" bestFit="1" customWidth="1"/>
    <col min="10" max="10" width="9.85546875" style="8" customWidth="1"/>
    <col min="11" max="11" width="10.7109375" style="8" bestFit="1" customWidth="1"/>
    <col min="12" max="240" width="8.85546875" style="8"/>
    <col min="241" max="241" width="40" style="8" customWidth="1"/>
    <col min="242" max="242" width="12" style="8" customWidth="1"/>
    <col min="243" max="245" width="10.42578125" style="8" customWidth="1"/>
    <col min="246" max="246" width="11" style="8" customWidth="1"/>
    <col min="247" max="247" width="4.7109375" style="8" customWidth="1"/>
    <col min="248" max="248" width="32.42578125" style="8" customWidth="1"/>
    <col min="249" max="249" width="12" style="8" customWidth="1"/>
    <col min="250" max="252" width="13.5703125" style="8" customWidth="1"/>
    <col min="253" max="253" width="11" style="8" customWidth="1"/>
    <col min="254" max="496" width="8.85546875" style="8"/>
    <col min="497" max="497" width="40" style="8" customWidth="1"/>
    <col min="498" max="498" width="12" style="8" customWidth="1"/>
    <col min="499" max="501" width="10.42578125" style="8" customWidth="1"/>
    <col min="502" max="502" width="11" style="8" customWidth="1"/>
    <col min="503" max="503" width="4.7109375" style="8" customWidth="1"/>
    <col min="504" max="504" width="32.42578125" style="8" customWidth="1"/>
    <col min="505" max="505" width="12" style="8" customWidth="1"/>
    <col min="506" max="508" width="13.5703125" style="8" customWidth="1"/>
    <col min="509" max="509" width="11" style="8" customWidth="1"/>
    <col min="510" max="752" width="8.85546875" style="8"/>
    <col min="753" max="753" width="40" style="8" customWidth="1"/>
    <col min="754" max="754" width="12" style="8" customWidth="1"/>
    <col min="755" max="757" width="10.42578125" style="8" customWidth="1"/>
    <col min="758" max="758" width="11" style="8" customWidth="1"/>
    <col min="759" max="759" width="4.7109375" style="8" customWidth="1"/>
    <col min="760" max="760" width="32.42578125" style="8" customWidth="1"/>
    <col min="761" max="761" width="12" style="8" customWidth="1"/>
    <col min="762" max="764" width="13.5703125" style="8" customWidth="1"/>
    <col min="765" max="765" width="11" style="8" customWidth="1"/>
    <col min="766" max="1008" width="8.85546875" style="8"/>
    <col min="1009" max="1009" width="40" style="8" customWidth="1"/>
    <col min="1010" max="1010" width="12" style="8" customWidth="1"/>
    <col min="1011" max="1013" width="10.42578125" style="8" customWidth="1"/>
    <col min="1014" max="1014" width="11" style="8" customWidth="1"/>
    <col min="1015" max="1015" width="4.7109375" style="8" customWidth="1"/>
    <col min="1016" max="1016" width="32.42578125" style="8" customWidth="1"/>
    <col min="1017" max="1017" width="12" style="8" customWidth="1"/>
    <col min="1018" max="1020" width="13.5703125" style="8" customWidth="1"/>
    <col min="1021" max="1021" width="11" style="8" customWidth="1"/>
    <col min="1022" max="1264" width="8.85546875" style="8"/>
    <col min="1265" max="1265" width="40" style="8" customWidth="1"/>
    <col min="1266" max="1266" width="12" style="8" customWidth="1"/>
    <col min="1267" max="1269" width="10.42578125" style="8" customWidth="1"/>
    <col min="1270" max="1270" width="11" style="8" customWidth="1"/>
    <col min="1271" max="1271" width="4.7109375" style="8" customWidth="1"/>
    <col min="1272" max="1272" width="32.42578125" style="8" customWidth="1"/>
    <col min="1273" max="1273" width="12" style="8" customWidth="1"/>
    <col min="1274" max="1276" width="13.5703125" style="8" customWidth="1"/>
    <col min="1277" max="1277" width="11" style="8" customWidth="1"/>
    <col min="1278" max="1520" width="8.85546875" style="8"/>
    <col min="1521" max="1521" width="40" style="8" customWidth="1"/>
    <col min="1522" max="1522" width="12" style="8" customWidth="1"/>
    <col min="1523" max="1525" width="10.42578125" style="8" customWidth="1"/>
    <col min="1526" max="1526" width="11" style="8" customWidth="1"/>
    <col min="1527" max="1527" width="4.7109375" style="8" customWidth="1"/>
    <col min="1528" max="1528" width="32.42578125" style="8" customWidth="1"/>
    <col min="1529" max="1529" width="12" style="8" customWidth="1"/>
    <col min="1530" max="1532" width="13.5703125" style="8" customWidth="1"/>
    <col min="1533" max="1533" width="11" style="8" customWidth="1"/>
    <col min="1534" max="1776" width="8.85546875" style="8"/>
    <col min="1777" max="1777" width="40" style="8" customWidth="1"/>
    <col min="1778" max="1778" width="12" style="8" customWidth="1"/>
    <col min="1779" max="1781" width="10.42578125" style="8" customWidth="1"/>
    <col min="1782" max="1782" width="11" style="8" customWidth="1"/>
    <col min="1783" max="1783" width="4.7109375" style="8" customWidth="1"/>
    <col min="1784" max="1784" width="32.42578125" style="8" customWidth="1"/>
    <col min="1785" max="1785" width="12" style="8" customWidth="1"/>
    <col min="1786" max="1788" width="13.5703125" style="8" customWidth="1"/>
    <col min="1789" max="1789" width="11" style="8" customWidth="1"/>
    <col min="1790" max="2032" width="8.85546875" style="8"/>
    <col min="2033" max="2033" width="40" style="8" customWidth="1"/>
    <col min="2034" max="2034" width="12" style="8" customWidth="1"/>
    <col min="2035" max="2037" width="10.42578125" style="8" customWidth="1"/>
    <col min="2038" max="2038" width="11" style="8" customWidth="1"/>
    <col min="2039" max="2039" width="4.7109375" style="8" customWidth="1"/>
    <col min="2040" max="2040" width="32.42578125" style="8" customWidth="1"/>
    <col min="2041" max="2041" width="12" style="8" customWidth="1"/>
    <col min="2042" max="2044" width="13.5703125" style="8" customWidth="1"/>
    <col min="2045" max="2045" width="11" style="8" customWidth="1"/>
    <col min="2046" max="2288" width="8.85546875" style="8"/>
    <col min="2289" max="2289" width="40" style="8" customWidth="1"/>
    <col min="2290" max="2290" width="12" style="8" customWidth="1"/>
    <col min="2291" max="2293" width="10.42578125" style="8" customWidth="1"/>
    <col min="2294" max="2294" width="11" style="8" customWidth="1"/>
    <col min="2295" max="2295" width="4.7109375" style="8" customWidth="1"/>
    <col min="2296" max="2296" width="32.42578125" style="8" customWidth="1"/>
    <col min="2297" max="2297" width="12" style="8" customWidth="1"/>
    <col min="2298" max="2300" width="13.5703125" style="8" customWidth="1"/>
    <col min="2301" max="2301" width="11" style="8" customWidth="1"/>
    <col min="2302" max="2544" width="8.85546875" style="8"/>
    <col min="2545" max="2545" width="40" style="8" customWidth="1"/>
    <col min="2546" max="2546" width="12" style="8" customWidth="1"/>
    <col min="2547" max="2549" width="10.42578125" style="8" customWidth="1"/>
    <col min="2550" max="2550" width="11" style="8" customWidth="1"/>
    <col min="2551" max="2551" width="4.7109375" style="8" customWidth="1"/>
    <col min="2552" max="2552" width="32.42578125" style="8" customWidth="1"/>
    <col min="2553" max="2553" width="12" style="8" customWidth="1"/>
    <col min="2554" max="2556" width="13.5703125" style="8" customWidth="1"/>
    <col min="2557" max="2557" width="11" style="8" customWidth="1"/>
    <col min="2558" max="2800" width="8.85546875" style="8"/>
    <col min="2801" max="2801" width="40" style="8" customWidth="1"/>
    <col min="2802" max="2802" width="12" style="8" customWidth="1"/>
    <col min="2803" max="2805" width="10.42578125" style="8" customWidth="1"/>
    <col min="2806" max="2806" width="11" style="8" customWidth="1"/>
    <col min="2807" max="2807" width="4.7109375" style="8" customWidth="1"/>
    <col min="2808" max="2808" width="32.42578125" style="8" customWidth="1"/>
    <col min="2809" max="2809" width="12" style="8" customWidth="1"/>
    <col min="2810" max="2812" width="13.5703125" style="8" customWidth="1"/>
    <col min="2813" max="2813" width="11" style="8" customWidth="1"/>
    <col min="2814" max="3056" width="8.85546875" style="8"/>
    <col min="3057" max="3057" width="40" style="8" customWidth="1"/>
    <col min="3058" max="3058" width="12" style="8" customWidth="1"/>
    <col min="3059" max="3061" width="10.42578125" style="8" customWidth="1"/>
    <col min="3062" max="3062" width="11" style="8" customWidth="1"/>
    <col min="3063" max="3063" width="4.7109375" style="8" customWidth="1"/>
    <col min="3064" max="3064" width="32.42578125" style="8" customWidth="1"/>
    <col min="3065" max="3065" width="12" style="8" customWidth="1"/>
    <col min="3066" max="3068" width="13.5703125" style="8" customWidth="1"/>
    <col min="3069" max="3069" width="11" style="8" customWidth="1"/>
    <col min="3070" max="3312" width="8.85546875" style="8"/>
    <col min="3313" max="3313" width="40" style="8" customWidth="1"/>
    <col min="3314" max="3314" width="12" style="8" customWidth="1"/>
    <col min="3315" max="3317" width="10.42578125" style="8" customWidth="1"/>
    <col min="3318" max="3318" width="11" style="8" customWidth="1"/>
    <col min="3319" max="3319" width="4.7109375" style="8" customWidth="1"/>
    <col min="3320" max="3320" width="32.42578125" style="8" customWidth="1"/>
    <col min="3321" max="3321" width="12" style="8" customWidth="1"/>
    <col min="3322" max="3324" width="13.5703125" style="8" customWidth="1"/>
    <col min="3325" max="3325" width="11" style="8" customWidth="1"/>
    <col min="3326" max="3568" width="8.85546875" style="8"/>
    <col min="3569" max="3569" width="40" style="8" customWidth="1"/>
    <col min="3570" max="3570" width="12" style="8" customWidth="1"/>
    <col min="3571" max="3573" width="10.42578125" style="8" customWidth="1"/>
    <col min="3574" max="3574" width="11" style="8" customWidth="1"/>
    <col min="3575" max="3575" width="4.7109375" style="8" customWidth="1"/>
    <col min="3576" max="3576" width="32.42578125" style="8" customWidth="1"/>
    <col min="3577" max="3577" width="12" style="8" customWidth="1"/>
    <col min="3578" max="3580" width="13.5703125" style="8" customWidth="1"/>
    <col min="3581" max="3581" width="11" style="8" customWidth="1"/>
    <col min="3582" max="3824" width="8.85546875" style="8"/>
    <col min="3825" max="3825" width="40" style="8" customWidth="1"/>
    <col min="3826" max="3826" width="12" style="8" customWidth="1"/>
    <col min="3827" max="3829" width="10.42578125" style="8" customWidth="1"/>
    <col min="3830" max="3830" width="11" style="8" customWidth="1"/>
    <col min="3831" max="3831" width="4.7109375" style="8" customWidth="1"/>
    <col min="3832" max="3832" width="32.42578125" style="8" customWidth="1"/>
    <col min="3833" max="3833" width="12" style="8" customWidth="1"/>
    <col min="3834" max="3836" width="13.5703125" style="8" customWidth="1"/>
    <col min="3837" max="3837" width="11" style="8" customWidth="1"/>
    <col min="3838" max="4080" width="8.85546875" style="8"/>
    <col min="4081" max="4081" width="40" style="8" customWidth="1"/>
    <col min="4082" max="4082" width="12" style="8" customWidth="1"/>
    <col min="4083" max="4085" width="10.42578125" style="8" customWidth="1"/>
    <col min="4086" max="4086" width="11" style="8" customWidth="1"/>
    <col min="4087" max="4087" width="4.7109375" style="8" customWidth="1"/>
    <col min="4088" max="4088" width="32.42578125" style="8" customWidth="1"/>
    <col min="4089" max="4089" width="12" style="8" customWidth="1"/>
    <col min="4090" max="4092" width="13.5703125" style="8" customWidth="1"/>
    <col min="4093" max="4093" width="11" style="8" customWidth="1"/>
    <col min="4094" max="4336" width="8.85546875" style="8"/>
    <col min="4337" max="4337" width="40" style="8" customWidth="1"/>
    <col min="4338" max="4338" width="12" style="8" customWidth="1"/>
    <col min="4339" max="4341" width="10.42578125" style="8" customWidth="1"/>
    <col min="4342" max="4342" width="11" style="8" customWidth="1"/>
    <col min="4343" max="4343" width="4.7109375" style="8" customWidth="1"/>
    <col min="4344" max="4344" width="32.42578125" style="8" customWidth="1"/>
    <col min="4345" max="4345" width="12" style="8" customWidth="1"/>
    <col min="4346" max="4348" width="13.5703125" style="8" customWidth="1"/>
    <col min="4349" max="4349" width="11" style="8" customWidth="1"/>
    <col min="4350" max="4592" width="8.85546875" style="8"/>
    <col min="4593" max="4593" width="40" style="8" customWidth="1"/>
    <col min="4594" max="4594" width="12" style="8" customWidth="1"/>
    <col min="4595" max="4597" width="10.42578125" style="8" customWidth="1"/>
    <col min="4598" max="4598" width="11" style="8" customWidth="1"/>
    <col min="4599" max="4599" width="4.7109375" style="8" customWidth="1"/>
    <col min="4600" max="4600" width="32.42578125" style="8" customWidth="1"/>
    <col min="4601" max="4601" width="12" style="8" customWidth="1"/>
    <col min="4602" max="4604" width="13.5703125" style="8" customWidth="1"/>
    <col min="4605" max="4605" width="11" style="8" customWidth="1"/>
    <col min="4606" max="4848" width="8.85546875" style="8"/>
    <col min="4849" max="4849" width="40" style="8" customWidth="1"/>
    <col min="4850" max="4850" width="12" style="8" customWidth="1"/>
    <col min="4851" max="4853" width="10.42578125" style="8" customWidth="1"/>
    <col min="4854" max="4854" width="11" style="8" customWidth="1"/>
    <col min="4855" max="4855" width="4.7109375" style="8" customWidth="1"/>
    <col min="4856" max="4856" width="32.42578125" style="8" customWidth="1"/>
    <col min="4857" max="4857" width="12" style="8" customWidth="1"/>
    <col min="4858" max="4860" width="13.5703125" style="8" customWidth="1"/>
    <col min="4861" max="4861" width="11" style="8" customWidth="1"/>
    <col min="4862" max="5104" width="8.85546875" style="8"/>
    <col min="5105" max="5105" width="40" style="8" customWidth="1"/>
    <col min="5106" max="5106" width="12" style="8" customWidth="1"/>
    <col min="5107" max="5109" width="10.42578125" style="8" customWidth="1"/>
    <col min="5110" max="5110" width="11" style="8" customWidth="1"/>
    <col min="5111" max="5111" width="4.7109375" style="8" customWidth="1"/>
    <col min="5112" max="5112" width="32.42578125" style="8" customWidth="1"/>
    <col min="5113" max="5113" width="12" style="8" customWidth="1"/>
    <col min="5114" max="5116" width="13.5703125" style="8" customWidth="1"/>
    <col min="5117" max="5117" width="11" style="8" customWidth="1"/>
    <col min="5118" max="5360" width="8.85546875" style="8"/>
    <col min="5361" max="5361" width="40" style="8" customWidth="1"/>
    <col min="5362" max="5362" width="12" style="8" customWidth="1"/>
    <col min="5363" max="5365" width="10.42578125" style="8" customWidth="1"/>
    <col min="5366" max="5366" width="11" style="8" customWidth="1"/>
    <col min="5367" max="5367" width="4.7109375" style="8" customWidth="1"/>
    <col min="5368" max="5368" width="32.42578125" style="8" customWidth="1"/>
    <col min="5369" max="5369" width="12" style="8" customWidth="1"/>
    <col min="5370" max="5372" width="13.5703125" style="8" customWidth="1"/>
    <col min="5373" max="5373" width="11" style="8" customWidth="1"/>
    <col min="5374" max="5616" width="8.85546875" style="8"/>
    <col min="5617" max="5617" width="40" style="8" customWidth="1"/>
    <col min="5618" max="5618" width="12" style="8" customWidth="1"/>
    <col min="5619" max="5621" width="10.42578125" style="8" customWidth="1"/>
    <col min="5622" max="5622" width="11" style="8" customWidth="1"/>
    <col min="5623" max="5623" width="4.7109375" style="8" customWidth="1"/>
    <col min="5624" max="5624" width="32.42578125" style="8" customWidth="1"/>
    <col min="5625" max="5625" width="12" style="8" customWidth="1"/>
    <col min="5626" max="5628" width="13.5703125" style="8" customWidth="1"/>
    <col min="5629" max="5629" width="11" style="8" customWidth="1"/>
    <col min="5630" max="5872" width="8.85546875" style="8"/>
    <col min="5873" max="5873" width="40" style="8" customWidth="1"/>
    <col min="5874" max="5874" width="12" style="8" customWidth="1"/>
    <col min="5875" max="5877" width="10.42578125" style="8" customWidth="1"/>
    <col min="5878" max="5878" width="11" style="8" customWidth="1"/>
    <col min="5879" max="5879" width="4.7109375" style="8" customWidth="1"/>
    <col min="5880" max="5880" width="32.42578125" style="8" customWidth="1"/>
    <col min="5881" max="5881" width="12" style="8" customWidth="1"/>
    <col min="5882" max="5884" width="13.5703125" style="8" customWidth="1"/>
    <col min="5885" max="5885" width="11" style="8" customWidth="1"/>
    <col min="5886" max="6128" width="8.85546875" style="8"/>
    <col min="6129" max="6129" width="40" style="8" customWidth="1"/>
    <col min="6130" max="6130" width="12" style="8" customWidth="1"/>
    <col min="6131" max="6133" width="10.42578125" style="8" customWidth="1"/>
    <col min="6134" max="6134" width="11" style="8" customWidth="1"/>
    <col min="6135" max="6135" width="4.7109375" style="8" customWidth="1"/>
    <col min="6136" max="6136" width="32.42578125" style="8" customWidth="1"/>
    <col min="6137" max="6137" width="12" style="8" customWidth="1"/>
    <col min="6138" max="6140" width="13.5703125" style="8" customWidth="1"/>
    <col min="6141" max="6141" width="11" style="8" customWidth="1"/>
    <col min="6142" max="6384" width="8.85546875" style="8"/>
    <col min="6385" max="6385" width="40" style="8" customWidth="1"/>
    <col min="6386" max="6386" width="12" style="8" customWidth="1"/>
    <col min="6387" max="6389" width="10.42578125" style="8" customWidth="1"/>
    <col min="6390" max="6390" width="11" style="8" customWidth="1"/>
    <col min="6391" max="6391" width="4.7109375" style="8" customWidth="1"/>
    <col min="6392" max="6392" width="32.42578125" style="8" customWidth="1"/>
    <col min="6393" max="6393" width="12" style="8" customWidth="1"/>
    <col min="6394" max="6396" width="13.5703125" style="8" customWidth="1"/>
    <col min="6397" max="6397" width="11" style="8" customWidth="1"/>
    <col min="6398" max="6640" width="8.85546875" style="8"/>
    <col min="6641" max="6641" width="40" style="8" customWidth="1"/>
    <col min="6642" max="6642" width="12" style="8" customWidth="1"/>
    <col min="6643" max="6645" width="10.42578125" style="8" customWidth="1"/>
    <col min="6646" max="6646" width="11" style="8" customWidth="1"/>
    <col min="6647" max="6647" width="4.7109375" style="8" customWidth="1"/>
    <col min="6648" max="6648" width="32.42578125" style="8" customWidth="1"/>
    <col min="6649" max="6649" width="12" style="8" customWidth="1"/>
    <col min="6650" max="6652" width="13.5703125" style="8" customWidth="1"/>
    <col min="6653" max="6653" width="11" style="8" customWidth="1"/>
    <col min="6654" max="6896" width="8.85546875" style="8"/>
    <col min="6897" max="6897" width="40" style="8" customWidth="1"/>
    <col min="6898" max="6898" width="12" style="8" customWidth="1"/>
    <col min="6899" max="6901" width="10.42578125" style="8" customWidth="1"/>
    <col min="6902" max="6902" width="11" style="8" customWidth="1"/>
    <col min="6903" max="6903" width="4.7109375" style="8" customWidth="1"/>
    <col min="6904" max="6904" width="32.42578125" style="8" customWidth="1"/>
    <col min="6905" max="6905" width="12" style="8" customWidth="1"/>
    <col min="6906" max="6908" width="13.5703125" style="8" customWidth="1"/>
    <col min="6909" max="6909" width="11" style="8" customWidth="1"/>
    <col min="6910" max="7152" width="8.85546875" style="8"/>
    <col min="7153" max="7153" width="40" style="8" customWidth="1"/>
    <col min="7154" max="7154" width="12" style="8" customWidth="1"/>
    <col min="7155" max="7157" width="10.42578125" style="8" customWidth="1"/>
    <col min="7158" max="7158" width="11" style="8" customWidth="1"/>
    <col min="7159" max="7159" width="4.7109375" style="8" customWidth="1"/>
    <col min="7160" max="7160" width="32.42578125" style="8" customWidth="1"/>
    <col min="7161" max="7161" width="12" style="8" customWidth="1"/>
    <col min="7162" max="7164" width="13.5703125" style="8" customWidth="1"/>
    <col min="7165" max="7165" width="11" style="8" customWidth="1"/>
    <col min="7166" max="7408" width="8.85546875" style="8"/>
    <col min="7409" max="7409" width="40" style="8" customWidth="1"/>
    <col min="7410" max="7410" width="12" style="8" customWidth="1"/>
    <col min="7411" max="7413" width="10.42578125" style="8" customWidth="1"/>
    <col min="7414" max="7414" width="11" style="8" customWidth="1"/>
    <col min="7415" max="7415" width="4.7109375" style="8" customWidth="1"/>
    <col min="7416" max="7416" width="32.42578125" style="8" customWidth="1"/>
    <col min="7417" max="7417" width="12" style="8" customWidth="1"/>
    <col min="7418" max="7420" width="13.5703125" style="8" customWidth="1"/>
    <col min="7421" max="7421" width="11" style="8" customWidth="1"/>
    <col min="7422" max="7664" width="8.85546875" style="8"/>
    <col min="7665" max="7665" width="40" style="8" customWidth="1"/>
    <col min="7666" max="7666" width="12" style="8" customWidth="1"/>
    <col min="7667" max="7669" width="10.42578125" style="8" customWidth="1"/>
    <col min="7670" max="7670" width="11" style="8" customWidth="1"/>
    <col min="7671" max="7671" width="4.7109375" style="8" customWidth="1"/>
    <col min="7672" max="7672" width="32.42578125" style="8" customWidth="1"/>
    <col min="7673" max="7673" width="12" style="8" customWidth="1"/>
    <col min="7674" max="7676" width="13.5703125" style="8" customWidth="1"/>
    <col min="7677" max="7677" width="11" style="8" customWidth="1"/>
    <col min="7678" max="7920" width="8.85546875" style="8"/>
    <col min="7921" max="7921" width="40" style="8" customWidth="1"/>
    <col min="7922" max="7922" width="12" style="8" customWidth="1"/>
    <col min="7923" max="7925" width="10.42578125" style="8" customWidth="1"/>
    <col min="7926" max="7926" width="11" style="8" customWidth="1"/>
    <col min="7927" max="7927" width="4.7109375" style="8" customWidth="1"/>
    <col min="7928" max="7928" width="32.42578125" style="8" customWidth="1"/>
    <col min="7929" max="7929" width="12" style="8" customWidth="1"/>
    <col min="7930" max="7932" width="13.5703125" style="8" customWidth="1"/>
    <col min="7933" max="7933" width="11" style="8" customWidth="1"/>
    <col min="7934" max="8176" width="8.85546875" style="8"/>
    <col min="8177" max="8177" width="40" style="8" customWidth="1"/>
    <col min="8178" max="8178" width="12" style="8" customWidth="1"/>
    <col min="8179" max="8181" width="10.42578125" style="8" customWidth="1"/>
    <col min="8182" max="8182" width="11" style="8" customWidth="1"/>
    <col min="8183" max="8183" width="4.7109375" style="8" customWidth="1"/>
    <col min="8184" max="8184" width="32.42578125" style="8" customWidth="1"/>
    <col min="8185" max="8185" width="12" style="8" customWidth="1"/>
    <col min="8186" max="8188" width="13.5703125" style="8" customWidth="1"/>
    <col min="8189" max="8189" width="11" style="8" customWidth="1"/>
    <col min="8190" max="8432" width="8.85546875" style="8"/>
    <col min="8433" max="8433" width="40" style="8" customWidth="1"/>
    <col min="8434" max="8434" width="12" style="8" customWidth="1"/>
    <col min="8435" max="8437" width="10.42578125" style="8" customWidth="1"/>
    <col min="8438" max="8438" width="11" style="8" customWidth="1"/>
    <col min="8439" max="8439" width="4.7109375" style="8" customWidth="1"/>
    <col min="8440" max="8440" width="32.42578125" style="8" customWidth="1"/>
    <col min="8441" max="8441" width="12" style="8" customWidth="1"/>
    <col min="8442" max="8444" width="13.5703125" style="8" customWidth="1"/>
    <col min="8445" max="8445" width="11" style="8" customWidth="1"/>
    <col min="8446" max="8688" width="8.85546875" style="8"/>
    <col min="8689" max="8689" width="40" style="8" customWidth="1"/>
    <col min="8690" max="8690" width="12" style="8" customWidth="1"/>
    <col min="8691" max="8693" width="10.42578125" style="8" customWidth="1"/>
    <col min="8694" max="8694" width="11" style="8" customWidth="1"/>
    <col min="8695" max="8695" width="4.7109375" style="8" customWidth="1"/>
    <col min="8696" max="8696" width="32.42578125" style="8" customWidth="1"/>
    <col min="8697" max="8697" width="12" style="8" customWidth="1"/>
    <col min="8698" max="8700" width="13.5703125" style="8" customWidth="1"/>
    <col min="8701" max="8701" width="11" style="8" customWidth="1"/>
    <col min="8702" max="8944" width="8.85546875" style="8"/>
    <col min="8945" max="8945" width="40" style="8" customWidth="1"/>
    <col min="8946" max="8946" width="12" style="8" customWidth="1"/>
    <col min="8947" max="8949" width="10.42578125" style="8" customWidth="1"/>
    <col min="8950" max="8950" width="11" style="8" customWidth="1"/>
    <col min="8951" max="8951" width="4.7109375" style="8" customWidth="1"/>
    <col min="8952" max="8952" width="32.42578125" style="8" customWidth="1"/>
    <col min="8953" max="8953" width="12" style="8" customWidth="1"/>
    <col min="8954" max="8956" width="13.5703125" style="8" customWidth="1"/>
    <col min="8957" max="8957" width="11" style="8" customWidth="1"/>
    <col min="8958" max="9200" width="8.85546875" style="8"/>
    <col min="9201" max="9201" width="40" style="8" customWidth="1"/>
    <col min="9202" max="9202" width="12" style="8" customWidth="1"/>
    <col min="9203" max="9205" width="10.42578125" style="8" customWidth="1"/>
    <col min="9206" max="9206" width="11" style="8" customWidth="1"/>
    <col min="9207" max="9207" width="4.7109375" style="8" customWidth="1"/>
    <col min="9208" max="9208" width="32.42578125" style="8" customWidth="1"/>
    <col min="9209" max="9209" width="12" style="8" customWidth="1"/>
    <col min="9210" max="9212" width="13.5703125" style="8" customWidth="1"/>
    <col min="9213" max="9213" width="11" style="8" customWidth="1"/>
    <col min="9214" max="9456" width="8.85546875" style="8"/>
    <col min="9457" max="9457" width="40" style="8" customWidth="1"/>
    <col min="9458" max="9458" width="12" style="8" customWidth="1"/>
    <col min="9459" max="9461" width="10.42578125" style="8" customWidth="1"/>
    <col min="9462" max="9462" width="11" style="8" customWidth="1"/>
    <col min="9463" max="9463" width="4.7109375" style="8" customWidth="1"/>
    <col min="9464" max="9464" width="32.42578125" style="8" customWidth="1"/>
    <col min="9465" max="9465" width="12" style="8" customWidth="1"/>
    <col min="9466" max="9468" width="13.5703125" style="8" customWidth="1"/>
    <col min="9469" max="9469" width="11" style="8" customWidth="1"/>
    <col min="9470" max="9712" width="8.85546875" style="8"/>
    <col min="9713" max="9713" width="40" style="8" customWidth="1"/>
    <col min="9714" max="9714" width="12" style="8" customWidth="1"/>
    <col min="9715" max="9717" width="10.42578125" style="8" customWidth="1"/>
    <col min="9718" max="9718" width="11" style="8" customWidth="1"/>
    <col min="9719" max="9719" width="4.7109375" style="8" customWidth="1"/>
    <col min="9720" max="9720" width="32.42578125" style="8" customWidth="1"/>
    <col min="9721" max="9721" width="12" style="8" customWidth="1"/>
    <col min="9722" max="9724" width="13.5703125" style="8" customWidth="1"/>
    <col min="9725" max="9725" width="11" style="8" customWidth="1"/>
    <col min="9726" max="9968" width="8.85546875" style="8"/>
    <col min="9969" max="9969" width="40" style="8" customWidth="1"/>
    <col min="9970" max="9970" width="12" style="8" customWidth="1"/>
    <col min="9971" max="9973" width="10.42578125" style="8" customWidth="1"/>
    <col min="9974" max="9974" width="11" style="8" customWidth="1"/>
    <col min="9975" max="9975" width="4.7109375" style="8" customWidth="1"/>
    <col min="9976" max="9976" width="32.42578125" style="8" customWidth="1"/>
    <col min="9977" max="9977" width="12" style="8" customWidth="1"/>
    <col min="9978" max="9980" width="13.5703125" style="8" customWidth="1"/>
    <col min="9981" max="9981" width="11" style="8" customWidth="1"/>
    <col min="9982" max="10224" width="8.85546875" style="8"/>
    <col min="10225" max="10225" width="40" style="8" customWidth="1"/>
    <col min="10226" max="10226" width="12" style="8" customWidth="1"/>
    <col min="10227" max="10229" width="10.42578125" style="8" customWidth="1"/>
    <col min="10230" max="10230" width="11" style="8" customWidth="1"/>
    <col min="10231" max="10231" width="4.7109375" style="8" customWidth="1"/>
    <col min="10232" max="10232" width="32.42578125" style="8" customWidth="1"/>
    <col min="10233" max="10233" width="12" style="8" customWidth="1"/>
    <col min="10234" max="10236" width="13.5703125" style="8" customWidth="1"/>
    <col min="10237" max="10237" width="11" style="8" customWidth="1"/>
    <col min="10238" max="10480" width="8.85546875" style="8"/>
    <col min="10481" max="10481" width="40" style="8" customWidth="1"/>
    <col min="10482" max="10482" width="12" style="8" customWidth="1"/>
    <col min="10483" max="10485" width="10.42578125" style="8" customWidth="1"/>
    <col min="10486" max="10486" width="11" style="8" customWidth="1"/>
    <col min="10487" max="10487" width="4.7109375" style="8" customWidth="1"/>
    <col min="10488" max="10488" width="32.42578125" style="8" customWidth="1"/>
    <col min="10489" max="10489" width="12" style="8" customWidth="1"/>
    <col min="10490" max="10492" width="13.5703125" style="8" customWidth="1"/>
    <col min="10493" max="10493" width="11" style="8" customWidth="1"/>
    <col min="10494" max="10736" width="8.85546875" style="8"/>
    <col min="10737" max="10737" width="40" style="8" customWidth="1"/>
    <col min="10738" max="10738" width="12" style="8" customWidth="1"/>
    <col min="10739" max="10741" width="10.42578125" style="8" customWidth="1"/>
    <col min="10742" max="10742" width="11" style="8" customWidth="1"/>
    <col min="10743" max="10743" width="4.7109375" style="8" customWidth="1"/>
    <col min="10744" max="10744" width="32.42578125" style="8" customWidth="1"/>
    <col min="10745" max="10745" width="12" style="8" customWidth="1"/>
    <col min="10746" max="10748" width="13.5703125" style="8" customWidth="1"/>
    <col min="10749" max="10749" width="11" style="8" customWidth="1"/>
    <col min="10750" max="10992" width="8.85546875" style="8"/>
    <col min="10993" max="10993" width="40" style="8" customWidth="1"/>
    <col min="10994" max="10994" width="12" style="8" customWidth="1"/>
    <col min="10995" max="10997" width="10.42578125" style="8" customWidth="1"/>
    <col min="10998" max="10998" width="11" style="8" customWidth="1"/>
    <col min="10999" max="10999" width="4.7109375" style="8" customWidth="1"/>
    <col min="11000" max="11000" width="32.42578125" style="8" customWidth="1"/>
    <col min="11001" max="11001" width="12" style="8" customWidth="1"/>
    <col min="11002" max="11004" width="13.5703125" style="8" customWidth="1"/>
    <col min="11005" max="11005" width="11" style="8" customWidth="1"/>
    <col min="11006" max="11248" width="8.85546875" style="8"/>
    <col min="11249" max="11249" width="40" style="8" customWidth="1"/>
    <col min="11250" max="11250" width="12" style="8" customWidth="1"/>
    <col min="11251" max="11253" width="10.42578125" style="8" customWidth="1"/>
    <col min="11254" max="11254" width="11" style="8" customWidth="1"/>
    <col min="11255" max="11255" width="4.7109375" style="8" customWidth="1"/>
    <col min="11256" max="11256" width="32.42578125" style="8" customWidth="1"/>
    <col min="11257" max="11257" width="12" style="8" customWidth="1"/>
    <col min="11258" max="11260" width="13.5703125" style="8" customWidth="1"/>
    <col min="11261" max="11261" width="11" style="8" customWidth="1"/>
    <col min="11262" max="11504" width="8.85546875" style="8"/>
    <col min="11505" max="11505" width="40" style="8" customWidth="1"/>
    <col min="11506" max="11506" width="12" style="8" customWidth="1"/>
    <col min="11507" max="11509" width="10.42578125" style="8" customWidth="1"/>
    <col min="11510" max="11510" width="11" style="8" customWidth="1"/>
    <col min="11511" max="11511" width="4.7109375" style="8" customWidth="1"/>
    <col min="11512" max="11512" width="32.42578125" style="8" customWidth="1"/>
    <col min="11513" max="11513" width="12" style="8" customWidth="1"/>
    <col min="11514" max="11516" width="13.5703125" style="8" customWidth="1"/>
    <col min="11517" max="11517" width="11" style="8" customWidth="1"/>
    <col min="11518" max="11760" width="8.85546875" style="8"/>
    <col min="11761" max="11761" width="40" style="8" customWidth="1"/>
    <col min="11762" max="11762" width="12" style="8" customWidth="1"/>
    <col min="11763" max="11765" width="10.42578125" style="8" customWidth="1"/>
    <col min="11766" max="11766" width="11" style="8" customWidth="1"/>
    <col min="11767" max="11767" width="4.7109375" style="8" customWidth="1"/>
    <col min="11768" max="11768" width="32.42578125" style="8" customWidth="1"/>
    <col min="11769" max="11769" width="12" style="8" customWidth="1"/>
    <col min="11770" max="11772" width="13.5703125" style="8" customWidth="1"/>
    <col min="11773" max="11773" width="11" style="8" customWidth="1"/>
    <col min="11774" max="12016" width="8.85546875" style="8"/>
    <col min="12017" max="12017" width="40" style="8" customWidth="1"/>
    <col min="12018" max="12018" width="12" style="8" customWidth="1"/>
    <col min="12019" max="12021" width="10.42578125" style="8" customWidth="1"/>
    <col min="12022" max="12022" width="11" style="8" customWidth="1"/>
    <col min="12023" max="12023" width="4.7109375" style="8" customWidth="1"/>
    <col min="12024" max="12024" width="32.42578125" style="8" customWidth="1"/>
    <col min="12025" max="12025" width="12" style="8" customWidth="1"/>
    <col min="12026" max="12028" width="13.5703125" style="8" customWidth="1"/>
    <col min="12029" max="12029" width="11" style="8" customWidth="1"/>
    <col min="12030" max="12272" width="8.85546875" style="8"/>
    <col min="12273" max="12273" width="40" style="8" customWidth="1"/>
    <col min="12274" max="12274" width="12" style="8" customWidth="1"/>
    <col min="12275" max="12277" width="10.42578125" style="8" customWidth="1"/>
    <col min="12278" max="12278" width="11" style="8" customWidth="1"/>
    <col min="12279" max="12279" width="4.7109375" style="8" customWidth="1"/>
    <col min="12280" max="12280" width="32.42578125" style="8" customWidth="1"/>
    <col min="12281" max="12281" width="12" style="8" customWidth="1"/>
    <col min="12282" max="12284" width="13.5703125" style="8" customWidth="1"/>
    <col min="12285" max="12285" width="11" style="8" customWidth="1"/>
    <col min="12286" max="12528" width="8.85546875" style="8"/>
    <col min="12529" max="12529" width="40" style="8" customWidth="1"/>
    <col min="12530" max="12530" width="12" style="8" customWidth="1"/>
    <col min="12531" max="12533" width="10.42578125" style="8" customWidth="1"/>
    <col min="12534" max="12534" width="11" style="8" customWidth="1"/>
    <col min="12535" max="12535" width="4.7109375" style="8" customWidth="1"/>
    <col min="12536" max="12536" width="32.42578125" style="8" customWidth="1"/>
    <col min="12537" max="12537" width="12" style="8" customWidth="1"/>
    <col min="12538" max="12540" width="13.5703125" style="8" customWidth="1"/>
    <col min="12541" max="12541" width="11" style="8" customWidth="1"/>
    <col min="12542" max="12784" width="8.85546875" style="8"/>
    <col min="12785" max="12785" width="40" style="8" customWidth="1"/>
    <col min="12786" max="12786" width="12" style="8" customWidth="1"/>
    <col min="12787" max="12789" width="10.42578125" style="8" customWidth="1"/>
    <col min="12790" max="12790" width="11" style="8" customWidth="1"/>
    <col min="12791" max="12791" width="4.7109375" style="8" customWidth="1"/>
    <col min="12792" max="12792" width="32.42578125" style="8" customWidth="1"/>
    <col min="12793" max="12793" width="12" style="8" customWidth="1"/>
    <col min="12794" max="12796" width="13.5703125" style="8" customWidth="1"/>
    <col min="12797" max="12797" width="11" style="8" customWidth="1"/>
    <col min="12798" max="13040" width="8.85546875" style="8"/>
    <col min="13041" max="13041" width="40" style="8" customWidth="1"/>
    <col min="13042" max="13042" width="12" style="8" customWidth="1"/>
    <col min="13043" max="13045" width="10.42578125" style="8" customWidth="1"/>
    <col min="13046" max="13046" width="11" style="8" customWidth="1"/>
    <col min="13047" max="13047" width="4.7109375" style="8" customWidth="1"/>
    <col min="13048" max="13048" width="32.42578125" style="8" customWidth="1"/>
    <col min="13049" max="13049" width="12" style="8" customWidth="1"/>
    <col min="13050" max="13052" width="13.5703125" style="8" customWidth="1"/>
    <col min="13053" max="13053" width="11" style="8" customWidth="1"/>
    <col min="13054" max="13296" width="8.85546875" style="8"/>
    <col min="13297" max="13297" width="40" style="8" customWidth="1"/>
    <col min="13298" max="13298" width="12" style="8" customWidth="1"/>
    <col min="13299" max="13301" width="10.42578125" style="8" customWidth="1"/>
    <col min="13302" max="13302" width="11" style="8" customWidth="1"/>
    <col min="13303" max="13303" width="4.7109375" style="8" customWidth="1"/>
    <col min="13304" max="13304" width="32.42578125" style="8" customWidth="1"/>
    <col min="13305" max="13305" width="12" style="8" customWidth="1"/>
    <col min="13306" max="13308" width="13.5703125" style="8" customWidth="1"/>
    <col min="13309" max="13309" width="11" style="8" customWidth="1"/>
    <col min="13310" max="13552" width="8.85546875" style="8"/>
    <col min="13553" max="13553" width="40" style="8" customWidth="1"/>
    <col min="13554" max="13554" width="12" style="8" customWidth="1"/>
    <col min="13555" max="13557" width="10.42578125" style="8" customWidth="1"/>
    <col min="13558" max="13558" width="11" style="8" customWidth="1"/>
    <col min="13559" max="13559" width="4.7109375" style="8" customWidth="1"/>
    <col min="13560" max="13560" width="32.42578125" style="8" customWidth="1"/>
    <col min="13561" max="13561" width="12" style="8" customWidth="1"/>
    <col min="13562" max="13564" width="13.5703125" style="8" customWidth="1"/>
    <col min="13565" max="13565" width="11" style="8" customWidth="1"/>
    <col min="13566" max="13808" width="8.85546875" style="8"/>
    <col min="13809" max="13809" width="40" style="8" customWidth="1"/>
    <col min="13810" max="13810" width="12" style="8" customWidth="1"/>
    <col min="13811" max="13813" width="10.42578125" style="8" customWidth="1"/>
    <col min="13814" max="13814" width="11" style="8" customWidth="1"/>
    <col min="13815" max="13815" width="4.7109375" style="8" customWidth="1"/>
    <col min="13816" max="13816" width="32.42578125" style="8" customWidth="1"/>
    <col min="13817" max="13817" width="12" style="8" customWidth="1"/>
    <col min="13818" max="13820" width="13.5703125" style="8" customWidth="1"/>
    <col min="13821" max="13821" width="11" style="8" customWidth="1"/>
    <col min="13822" max="14064" width="8.85546875" style="8"/>
    <col min="14065" max="14065" width="40" style="8" customWidth="1"/>
    <col min="14066" max="14066" width="12" style="8" customWidth="1"/>
    <col min="14067" max="14069" width="10.42578125" style="8" customWidth="1"/>
    <col min="14070" max="14070" width="11" style="8" customWidth="1"/>
    <col min="14071" max="14071" width="4.7109375" style="8" customWidth="1"/>
    <col min="14072" max="14072" width="32.42578125" style="8" customWidth="1"/>
    <col min="14073" max="14073" width="12" style="8" customWidth="1"/>
    <col min="14074" max="14076" width="13.5703125" style="8" customWidth="1"/>
    <col min="14077" max="14077" width="11" style="8" customWidth="1"/>
    <col min="14078" max="14320" width="8.85546875" style="8"/>
    <col min="14321" max="14321" width="40" style="8" customWidth="1"/>
    <col min="14322" max="14322" width="12" style="8" customWidth="1"/>
    <col min="14323" max="14325" width="10.42578125" style="8" customWidth="1"/>
    <col min="14326" max="14326" width="11" style="8" customWidth="1"/>
    <col min="14327" max="14327" width="4.7109375" style="8" customWidth="1"/>
    <col min="14328" max="14328" width="32.42578125" style="8" customWidth="1"/>
    <col min="14329" max="14329" width="12" style="8" customWidth="1"/>
    <col min="14330" max="14332" width="13.5703125" style="8" customWidth="1"/>
    <col min="14333" max="14333" width="11" style="8" customWidth="1"/>
    <col min="14334" max="14576" width="8.85546875" style="8"/>
    <col min="14577" max="14577" width="40" style="8" customWidth="1"/>
    <col min="14578" max="14578" width="12" style="8" customWidth="1"/>
    <col min="14579" max="14581" width="10.42578125" style="8" customWidth="1"/>
    <col min="14582" max="14582" width="11" style="8" customWidth="1"/>
    <col min="14583" max="14583" width="4.7109375" style="8" customWidth="1"/>
    <col min="14584" max="14584" width="32.42578125" style="8" customWidth="1"/>
    <col min="14585" max="14585" width="12" style="8" customWidth="1"/>
    <col min="14586" max="14588" width="13.5703125" style="8" customWidth="1"/>
    <col min="14589" max="14589" width="11" style="8" customWidth="1"/>
    <col min="14590" max="14832" width="8.85546875" style="8"/>
    <col min="14833" max="14833" width="40" style="8" customWidth="1"/>
    <col min="14834" max="14834" width="12" style="8" customWidth="1"/>
    <col min="14835" max="14837" width="10.42578125" style="8" customWidth="1"/>
    <col min="14838" max="14838" width="11" style="8" customWidth="1"/>
    <col min="14839" max="14839" width="4.7109375" style="8" customWidth="1"/>
    <col min="14840" max="14840" width="32.42578125" style="8" customWidth="1"/>
    <col min="14841" max="14841" width="12" style="8" customWidth="1"/>
    <col min="14842" max="14844" width="13.5703125" style="8" customWidth="1"/>
    <col min="14845" max="14845" width="11" style="8" customWidth="1"/>
    <col min="14846" max="15088" width="8.85546875" style="8"/>
    <col min="15089" max="15089" width="40" style="8" customWidth="1"/>
    <col min="15090" max="15090" width="12" style="8" customWidth="1"/>
    <col min="15091" max="15093" width="10.42578125" style="8" customWidth="1"/>
    <col min="15094" max="15094" width="11" style="8" customWidth="1"/>
    <col min="15095" max="15095" width="4.7109375" style="8" customWidth="1"/>
    <col min="15096" max="15096" width="32.42578125" style="8" customWidth="1"/>
    <col min="15097" max="15097" width="12" style="8" customWidth="1"/>
    <col min="15098" max="15100" width="13.5703125" style="8" customWidth="1"/>
    <col min="15101" max="15101" width="11" style="8" customWidth="1"/>
    <col min="15102" max="15344" width="8.85546875" style="8"/>
    <col min="15345" max="15345" width="40" style="8" customWidth="1"/>
    <col min="15346" max="15346" width="12" style="8" customWidth="1"/>
    <col min="15347" max="15349" width="10.42578125" style="8" customWidth="1"/>
    <col min="15350" max="15350" width="11" style="8" customWidth="1"/>
    <col min="15351" max="15351" width="4.7109375" style="8" customWidth="1"/>
    <col min="15352" max="15352" width="32.42578125" style="8" customWidth="1"/>
    <col min="15353" max="15353" width="12" style="8" customWidth="1"/>
    <col min="15354" max="15356" width="13.5703125" style="8" customWidth="1"/>
    <col min="15357" max="15357" width="11" style="8" customWidth="1"/>
    <col min="15358" max="15600" width="8.85546875" style="8"/>
    <col min="15601" max="15601" width="40" style="8" customWidth="1"/>
    <col min="15602" max="15602" width="12" style="8" customWidth="1"/>
    <col min="15603" max="15605" width="10.42578125" style="8" customWidth="1"/>
    <col min="15606" max="15606" width="11" style="8" customWidth="1"/>
    <col min="15607" max="15607" width="4.7109375" style="8" customWidth="1"/>
    <col min="15608" max="15608" width="32.42578125" style="8" customWidth="1"/>
    <col min="15609" max="15609" width="12" style="8" customWidth="1"/>
    <col min="15610" max="15612" width="13.5703125" style="8" customWidth="1"/>
    <col min="15613" max="15613" width="11" style="8" customWidth="1"/>
    <col min="15614" max="15856" width="8.85546875" style="8"/>
    <col min="15857" max="15857" width="40" style="8" customWidth="1"/>
    <col min="15858" max="15858" width="12" style="8" customWidth="1"/>
    <col min="15859" max="15861" width="10.42578125" style="8" customWidth="1"/>
    <col min="15862" max="15862" width="11" style="8" customWidth="1"/>
    <col min="15863" max="15863" width="4.7109375" style="8" customWidth="1"/>
    <col min="15864" max="15864" width="32.42578125" style="8" customWidth="1"/>
    <col min="15865" max="15865" width="12" style="8" customWidth="1"/>
    <col min="15866" max="15868" width="13.5703125" style="8" customWidth="1"/>
    <col min="15869" max="15869" width="11" style="8" customWidth="1"/>
    <col min="15870" max="16112" width="8.85546875" style="8"/>
    <col min="16113" max="16113" width="40" style="8" customWidth="1"/>
    <col min="16114" max="16114" width="12" style="8" customWidth="1"/>
    <col min="16115" max="16117" width="10.42578125" style="8" customWidth="1"/>
    <col min="16118" max="16118" width="11" style="8" customWidth="1"/>
    <col min="16119" max="16119" width="4.7109375" style="8" customWidth="1"/>
    <col min="16120" max="16120" width="32.42578125" style="8" customWidth="1"/>
    <col min="16121" max="16121" width="12" style="8" customWidth="1"/>
    <col min="16122" max="16124" width="13.5703125" style="8" customWidth="1"/>
    <col min="16125" max="16125" width="11" style="8" customWidth="1"/>
    <col min="16126" max="16380" width="8.85546875" style="8"/>
    <col min="16381" max="16384" width="8.85546875" style="8" customWidth="1"/>
  </cols>
  <sheetData>
    <row r="1" spans="1:11" ht="15.6" customHeight="1" x14ac:dyDescent="0.25">
      <c r="A1" s="7"/>
      <c r="B1" s="7"/>
      <c r="C1" s="7"/>
      <c r="D1" s="7"/>
      <c r="E1" s="7"/>
      <c r="F1" s="7"/>
      <c r="G1" s="7"/>
      <c r="H1" s="7"/>
      <c r="I1" s="7"/>
      <c r="J1" s="13"/>
      <c r="K1" s="13" t="s">
        <v>941</v>
      </c>
    </row>
    <row r="2" spans="1:11" ht="15.6" customHeight="1" x14ac:dyDescent="0.25">
      <c r="A2" s="7"/>
      <c r="B2" s="7"/>
      <c r="C2" s="7"/>
      <c r="D2" s="7"/>
      <c r="E2" s="7"/>
      <c r="F2" s="7"/>
      <c r="G2" s="7"/>
      <c r="H2" s="7"/>
      <c r="I2" s="7"/>
      <c r="J2" s="13"/>
      <c r="K2" s="9" t="s">
        <v>1001</v>
      </c>
    </row>
    <row r="3" spans="1:11" ht="12.75" customHeight="1" x14ac:dyDescent="0.2">
      <c r="A3" s="635" t="s">
        <v>97</v>
      </c>
      <c r="B3" s="635"/>
      <c r="C3" s="635"/>
      <c r="D3" s="635"/>
      <c r="E3" s="635"/>
      <c r="F3" s="635"/>
      <c r="G3" s="635"/>
      <c r="H3" s="635"/>
      <c r="I3" s="635"/>
      <c r="J3" s="635"/>
    </row>
    <row r="4" spans="1:11" x14ac:dyDescent="0.2">
      <c r="A4" s="636" t="s">
        <v>946</v>
      </c>
      <c r="B4" s="636"/>
      <c r="C4" s="636"/>
      <c r="D4" s="636"/>
      <c r="E4" s="636"/>
      <c r="F4" s="636"/>
      <c r="G4" s="636"/>
      <c r="H4" s="636"/>
      <c r="I4" s="636"/>
      <c r="J4" s="636"/>
    </row>
    <row r="5" spans="1:11" x14ac:dyDescent="0.2">
      <c r="A5" s="519"/>
      <c r="B5" s="520"/>
      <c r="C5" s="520"/>
      <c r="D5" s="520"/>
      <c r="E5" s="520"/>
      <c r="F5" s="520"/>
      <c r="G5" s="519"/>
      <c r="H5" s="521"/>
    </row>
    <row r="6" spans="1:11" x14ac:dyDescent="0.2">
      <c r="A6" s="522" t="s">
        <v>98</v>
      </c>
      <c r="B6" s="523"/>
      <c r="C6" s="523"/>
      <c r="D6" s="523"/>
      <c r="E6" s="523"/>
      <c r="F6" s="524"/>
      <c r="G6" s="522" t="s">
        <v>99</v>
      </c>
      <c r="H6" s="525"/>
      <c r="I6" s="10"/>
      <c r="J6" s="10"/>
      <c r="K6" s="10"/>
    </row>
    <row r="7" spans="1:11" x14ac:dyDescent="0.2">
      <c r="A7" s="526"/>
      <c r="B7" s="527" t="s">
        <v>238</v>
      </c>
      <c r="C7" s="527" t="s">
        <v>985</v>
      </c>
      <c r="D7" s="527" t="s">
        <v>239</v>
      </c>
      <c r="E7" s="527" t="s">
        <v>986</v>
      </c>
      <c r="F7" s="528"/>
      <c r="G7" s="526"/>
      <c r="H7" s="527" t="s">
        <v>238</v>
      </c>
      <c r="I7" s="527" t="s">
        <v>985</v>
      </c>
      <c r="J7" s="527" t="s">
        <v>239</v>
      </c>
      <c r="K7" s="527" t="s">
        <v>986</v>
      </c>
    </row>
    <row r="8" spans="1:11" x14ac:dyDescent="0.2">
      <c r="A8" s="522"/>
      <c r="B8" s="529" t="s">
        <v>23</v>
      </c>
      <c r="C8" s="529" t="s">
        <v>23</v>
      </c>
      <c r="D8" s="529" t="s">
        <v>23</v>
      </c>
      <c r="E8" s="529" t="s">
        <v>23</v>
      </c>
      <c r="F8" s="530"/>
      <c r="G8" s="531"/>
      <c r="H8" s="529" t="s">
        <v>23</v>
      </c>
      <c r="I8" s="529" t="s">
        <v>23</v>
      </c>
      <c r="J8" s="529" t="s">
        <v>23</v>
      </c>
      <c r="K8" s="529" t="s">
        <v>23</v>
      </c>
    </row>
    <row r="9" spans="1:11" x14ac:dyDescent="0.2">
      <c r="A9" s="532" t="s">
        <v>85</v>
      </c>
      <c r="B9" s="533">
        <v>503128</v>
      </c>
      <c r="C9" s="533">
        <v>453985</v>
      </c>
      <c r="D9" s="533">
        <f>'[1]1. melléklet'!D11+'[1]1. melléklet'!D17+'[1]1. melléklet'!D25+'[1]1. melléklet'!D47</f>
        <v>215568</v>
      </c>
      <c r="E9" s="533">
        <f>'[1]1. melléklet'!P11+'[1]1. melléklet'!P17+'[1]1. melléklet'!P25+'[1]1. melléklet'!P47</f>
        <v>271255</v>
      </c>
      <c r="F9" s="533"/>
      <c r="G9" s="532" t="s">
        <v>20</v>
      </c>
      <c r="H9" s="534">
        <v>845024</v>
      </c>
      <c r="I9" s="534">
        <v>1001290</v>
      </c>
      <c r="J9" s="534">
        <f>'[1]2. mell. 1. pont'!D11+'[1]2. mell. 1. pont'!D22+'[1]2. mell. 1. pont'!D38+'[1]2. mell. 1. pont'!D64</f>
        <v>1016701</v>
      </c>
      <c r="K9" s="534">
        <f>'[1]2. mell. 1. pont'!P11+'[1]2. mell. 1. pont'!P22+'[1]2. mell. 1. pont'!P38+'[1]2. mell. 1. pont'!P64</f>
        <v>1128883</v>
      </c>
    </row>
    <row r="10" spans="1:11" x14ac:dyDescent="0.2">
      <c r="A10" s="532" t="s">
        <v>55</v>
      </c>
      <c r="B10" s="533">
        <v>749267</v>
      </c>
      <c r="C10" s="533">
        <v>904052</v>
      </c>
      <c r="D10" s="533">
        <f>'[1]1. melléklet'!D62</f>
        <v>1098159</v>
      </c>
      <c r="E10" s="533">
        <f>'[1]1. melléklet'!P62</f>
        <v>1033253</v>
      </c>
      <c r="F10" s="533"/>
      <c r="G10" s="532" t="s">
        <v>100</v>
      </c>
      <c r="H10" s="534">
        <v>129866</v>
      </c>
      <c r="I10" s="534">
        <v>134893</v>
      </c>
      <c r="J10" s="534">
        <f>'[1]2. mell. 1. pont'!D12+'[1]2. mell. 1. pont'!D23+'[1]2. mell. 1. pont'!D39+'[1]2. mell. 1. pont'!D74</f>
        <v>98800</v>
      </c>
      <c r="K10" s="534">
        <f>'[1]2. mell. 1. pont'!P12+'[1]2. mell. 1. pont'!P23+'[1]2. mell. 1. pont'!P39+'[1]2. mell. 1. pont'!P74</f>
        <v>114463</v>
      </c>
    </row>
    <row r="11" spans="1:11" x14ac:dyDescent="0.2">
      <c r="A11" s="532" t="s">
        <v>101</v>
      </c>
      <c r="B11" s="533">
        <v>1629102</v>
      </c>
      <c r="C11" s="533">
        <v>1806239</v>
      </c>
      <c r="D11" s="533">
        <f>'[1]1. melléklet'!D93</f>
        <v>1719969</v>
      </c>
      <c r="E11" s="533">
        <f>'[1]1. melléklet'!P93</f>
        <v>2146062</v>
      </c>
      <c r="F11" s="533"/>
      <c r="G11" s="532" t="s">
        <v>25</v>
      </c>
      <c r="H11" s="534">
        <v>1425347</v>
      </c>
      <c r="I11" s="534">
        <v>1563496</v>
      </c>
      <c r="J11" s="534">
        <f>'[1]2. mell. 1. pont'!D13+'[1]2. mell. 1. pont'!D24+'[1]2. mell. 1. pont'!D40+'[1]2. mell. 1. pont'!D136</f>
        <v>1688600</v>
      </c>
      <c r="K11" s="534">
        <f>'[1]2. mell. 1. pont'!P13+'[1]2. mell. 1. pont'!P24+'[1]2. mell. 1. pont'!P40+'[1]2. mell. 1. pont'!P136</f>
        <v>1883092</v>
      </c>
    </row>
    <row r="12" spans="1:11" ht="24" x14ac:dyDescent="0.2">
      <c r="A12" s="532" t="s">
        <v>154</v>
      </c>
      <c r="B12" s="533">
        <v>182623</v>
      </c>
      <c r="C12" s="533">
        <v>175460</v>
      </c>
      <c r="D12" s="533">
        <f>'[1]1. melléklet'!D126</f>
        <v>137576</v>
      </c>
      <c r="E12" s="533">
        <f>'[1]1. melléklet'!P126</f>
        <v>157733</v>
      </c>
      <c r="F12" s="533"/>
      <c r="G12" s="535" t="s">
        <v>130</v>
      </c>
      <c r="H12" s="534">
        <v>570133</v>
      </c>
      <c r="I12" s="534">
        <v>579510</v>
      </c>
      <c r="J12" s="534">
        <f>'[1]2. mell. 1. pont'!D161+'[1]2. mell. 1. pont'!D176+'[1]2. mell. 1. pont'!D185+'[1]2. mell. 1. pont'!D189</f>
        <v>566808</v>
      </c>
      <c r="K12" s="534">
        <f>'[1]2. mell. 1. pont'!P161+'[1]2. mell. 1. pont'!P176+'[1]2. mell. 1. pont'!P185+'[1]2. mell. 1. pont'!P189+'[1]2. mell. 1. pont'!P28+'[1]2. mell. 1. pont'!P44</f>
        <v>644125</v>
      </c>
    </row>
    <row r="13" spans="1:11" x14ac:dyDescent="0.2">
      <c r="A13" s="532" t="s">
        <v>198</v>
      </c>
      <c r="B13" s="533">
        <v>3000</v>
      </c>
      <c r="C13" s="533">
        <v>7451</v>
      </c>
      <c r="D13" s="533">
        <f>'[1]1. melléklet'!D151</f>
        <v>4760</v>
      </c>
      <c r="E13" s="533">
        <f>'[1]1. melléklet'!P151</f>
        <v>7760</v>
      </c>
      <c r="F13" s="533"/>
      <c r="G13" s="532" t="s">
        <v>44</v>
      </c>
      <c r="H13" s="534">
        <v>18207</v>
      </c>
      <c r="I13" s="534">
        <v>14901</v>
      </c>
      <c r="J13" s="534">
        <f>'[1]2. mell. 1. pont'!D150</f>
        <v>15000</v>
      </c>
      <c r="K13" s="534">
        <f>'[1]2. mell. 1. pont'!P150</f>
        <v>15175</v>
      </c>
    </row>
    <row r="14" spans="1:11" x14ac:dyDescent="0.2">
      <c r="A14" s="532" t="s">
        <v>102</v>
      </c>
      <c r="B14" s="533">
        <v>14596</v>
      </c>
      <c r="C14" s="533">
        <v>0</v>
      </c>
      <c r="D14" s="533">
        <f>'[1]1. melléklet'!D170</f>
        <v>23000</v>
      </c>
      <c r="E14" s="533">
        <f>'[1]1. melléklet'!P170</f>
        <v>23000</v>
      </c>
      <c r="F14" s="533"/>
      <c r="G14" s="532" t="s">
        <v>106</v>
      </c>
      <c r="H14" s="534">
        <v>0</v>
      </c>
      <c r="I14" s="534">
        <v>9000</v>
      </c>
      <c r="J14" s="534">
        <v>0</v>
      </c>
      <c r="K14" s="534">
        <v>0</v>
      </c>
    </row>
    <row r="15" spans="1:11" x14ac:dyDescent="0.2">
      <c r="A15" s="532" t="s">
        <v>104</v>
      </c>
      <c r="B15" s="533">
        <v>176796</v>
      </c>
      <c r="C15" s="533">
        <v>313937</v>
      </c>
      <c r="D15" s="533">
        <f>'[1]1. melléklet'!D185</f>
        <v>1194</v>
      </c>
      <c r="E15" s="533">
        <f>'[1]1. melléklet'!P185</f>
        <v>1206</v>
      </c>
      <c r="F15" s="533"/>
      <c r="G15" s="532" t="s">
        <v>108</v>
      </c>
      <c r="H15" s="534">
        <v>0</v>
      </c>
      <c r="I15" s="534">
        <v>0</v>
      </c>
      <c r="J15" s="534">
        <f>'[1]2. mell. 1. pont'!D182</f>
        <v>5000</v>
      </c>
      <c r="K15" s="534">
        <f>'[1]2. mell. 1. pont'!P182</f>
        <v>5000</v>
      </c>
    </row>
    <row r="16" spans="1:11" x14ac:dyDescent="0.2">
      <c r="A16" s="532" t="s">
        <v>105</v>
      </c>
      <c r="B16" s="533">
        <v>0</v>
      </c>
      <c r="C16" s="533">
        <v>8301</v>
      </c>
      <c r="D16" s="533">
        <v>0</v>
      </c>
      <c r="E16" s="533">
        <f>'[1]1. melléklet'!P197</f>
        <v>112570</v>
      </c>
      <c r="F16" s="533"/>
      <c r="G16" s="532" t="s">
        <v>103</v>
      </c>
      <c r="H16" s="534">
        <v>0</v>
      </c>
      <c r="I16" s="534">
        <v>8301</v>
      </c>
      <c r="J16" s="534">
        <v>0</v>
      </c>
      <c r="K16" s="534">
        <f>'[1]2. mell. 1. pont'!P265</f>
        <v>112570</v>
      </c>
    </row>
    <row r="17" spans="1:11" ht="24" x14ac:dyDescent="0.2">
      <c r="A17" s="532" t="s">
        <v>107</v>
      </c>
      <c r="B17" s="533">
        <v>60520</v>
      </c>
      <c r="C17" s="533">
        <v>81456</v>
      </c>
      <c r="D17" s="533">
        <v>0</v>
      </c>
      <c r="E17" s="533">
        <f>'[1]1. melléklet'!P200</f>
        <v>905</v>
      </c>
      <c r="F17" s="533"/>
      <c r="G17" s="536" t="s">
        <v>120</v>
      </c>
      <c r="H17" s="534">
        <v>61489</v>
      </c>
      <c r="I17" s="534">
        <v>72333</v>
      </c>
      <c r="J17" s="534">
        <f>'[1]2. mell. 1. pont'!D268</f>
        <v>64565</v>
      </c>
      <c r="K17" s="534">
        <f>'[1]2. mell. 1. pont'!P268</f>
        <v>65470</v>
      </c>
    </row>
    <row r="18" spans="1:11" x14ac:dyDescent="0.2">
      <c r="A18" s="537"/>
      <c r="B18" s="533"/>
      <c r="C18" s="533"/>
      <c r="D18" s="533"/>
      <c r="E18" s="533"/>
      <c r="F18" s="533"/>
      <c r="G18" s="10"/>
      <c r="H18" s="10"/>
      <c r="I18" s="534"/>
      <c r="J18" s="534"/>
      <c r="K18" s="534"/>
    </row>
    <row r="19" spans="1:11" x14ac:dyDescent="0.2">
      <c r="A19" s="522" t="s">
        <v>109</v>
      </c>
      <c r="B19" s="538">
        <f>SUM(B9:B18)</f>
        <v>3319032</v>
      </c>
      <c r="C19" s="538">
        <f>SUM(C9:C18)</f>
        <v>3750881</v>
      </c>
      <c r="D19" s="538">
        <f>SUM(D9:D18)</f>
        <v>3200226</v>
      </c>
      <c r="E19" s="538">
        <f>SUM(E9:E18)</f>
        <v>3753744</v>
      </c>
      <c r="F19" s="539"/>
      <c r="G19" s="522" t="s">
        <v>110</v>
      </c>
      <c r="H19" s="540">
        <f>SUM(H9:H18)</f>
        <v>3050066</v>
      </c>
      <c r="I19" s="540">
        <f>SUM(I9:I18)</f>
        <v>3383724</v>
      </c>
      <c r="J19" s="540">
        <f>SUM(J9:J18)</f>
        <v>3455474</v>
      </c>
      <c r="K19" s="540">
        <f>SUM(K9:K18)</f>
        <v>3968778</v>
      </c>
    </row>
    <row r="20" spans="1:11" x14ac:dyDescent="0.2">
      <c r="A20" s="537"/>
      <c r="B20" s="538"/>
      <c r="C20" s="538"/>
      <c r="D20" s="538"/>
      <c r="E20" s="538"/>
      <c r="F20" s="538"/>
      <c r="G20" s="532"/>
      <c r="H20" s="534"/>
      <c r="I20" s="534"/>
      <c r="J20" s="534"/>
      <c r="K20" s="534"/>
    </row>
    <row r="21" spans="1:11" x14ac:dyDescent="0.2">
      <c r="A21" s="532" t="s">
        <v>62</v>
      </c>
      <c r="B21" s="534">
        <v>229477</v>
      </c>
      <c r="C21" s="534">
        <v>140571</v>
      </c>
      <c r="D21" s="534">
        <f>'[1]1. melléklet'!D103</f>
        <v>388251</v>
      </c>
      <c r="E21" s="534">
        <f>'[1]1. melléklet'!P103</f>
        <v>501397</v>
      </c>
      <c r="F21" s="525"/>
      <c r="G21" s="532" t="s">
        <v>46</v>
      </c>
      <c r="H21" s="534">
        <v>212890</v>
      </c>
      <c r="I21" s="534">
        <v>372731</v>
      </c>
      <c r="J21" s="534">
        <f>'[1]2. mell. 1. pont'!D18+'[1]2. mell. 1. pont'!D31+'[1]2. mell. 1. pont'!D50+'[1]2. mell. 1. pont'!D221</f>
        <v>679324</v>
      </c>
      <c r="K21" s="534">
        <f>'[1]2. mell. 1. pont'!P18+'[1]2. mell. 1. pont'!P31+'[1]2. mell. 1. pont'!P50+'[1]2. mell. 1. pont'!P221</f>
        <v>712148</v>
      </c>
    </row>
    <row r="22" spans="1:11" x14ac:dyDescent="0.2">
      <c r="A22" s="532" t="s">
        <v>240</v>
      </c>
      <c r="B22" s="533">
        <v>146898</v>
      </c>
      <c r="C22" s="533">
        <v>40000</v>
      </c>
      <c r="D22" s="533">
        <v>0</v>
      </c>
      <c r="E22" s="533">
        <v>0</v>
      </c>
      <c r="F22" s="533"/>
      <c r="G22" s="532" t="s">
        <v>18</v>
      </c>
      <c r="H22" s="534">
        <v>377959</v>
      </c>
      <c r="I22" s="534">
        <v>1125666</v>
      </c>
      <c r="J22" s="534">
        <f>'[1]2. mell. 1. pont'!D34+'[1]2. mell. 1. pont'!D237</f>
        <v>1364283</v>
      </c>
      <c r="K22" s="534">
        <f>'[1]2. mell. 1. pont'!P34+'[1]2. mell. 1. pont'!P237</f>
        <v>1679343</v>
      </c>
    </row>
    <row r="23" spans="1:11" ht="24" x14ac:dyDescent="0.2">
      <c r="A23" s="532" t="s">
        <v>111</v>
      </c>
      <c r="B23" s="541">
        <v>1707980</v>
      </c>
      <c r="C23" s="541">
        <v>487625</v>
      </c>
      <c r="D23" s="541">
        <f>'[1]1. melléklet'!D140</f>
        <v>263671</v>
      </c>
      <c r="E23" s="541">
        <f>'[1]1. melléklet'!P140</f>
        <v>459674</v>
      </c>
      <c r="F23" s="541"/>
      <c r="G23" s="535" t="s">
        <v>129</v>
      </c>
      <c r="H23" s="534">
        <v>24347</v>
      </c>
      <c r="I23" s="534">
        <v>6610</v>
      </c>
      <c r="J23" s="534">
        <f>'[1]2. mell. 1. pont'!D243+'[1]2. mell. 1. pont'!D249</f>
        <v>8300</v>
      </c>
      <c r="K23" s="534">
        <f>'[1]2. mell. 1. pont'!P243+'[1]2. mell. 1. pont'!P249</f>
        <v>9800</v>
      </c>
    </row>
    <row r="24" spans="1:11" x14ac:dyDescent="0.2">
      <c r="A24" s="532" t="s">
        <v>197</v>
      </c>
      <c r="B24" s="533">
        <v>397</v>
      </c>
      <c r="C24" s="533">
        <v>616</v>
      </c>
      <c r="D24" s="533">
        <f>'[1]1. melléklet'!D156</f>
        <v>400</v>
      </c>
      <c r="E24" s="533">
        <f>'[1]1. melléklet'!P156</f>
        <v>400</v>
      </c>
      <c r="F24" s="533"/>
      <c r="G24" s="532" t="s">
        <v>128</v>
      </c>
      <c r="H24" s="534">
        <v>0</v>
      </c>
      <c r="I24" s="534">
        <v>0</v>
      </c>
      <c r="J24" s="534">
        <f>'[1]2. mell. 1. pont'!D255</f>
        <v>14868</v>
      </c>
      <c r="K24" s="534">
        <f>'[1]2. mell. 1. pont'!P255</f>
        <v>14868</v>
      </c>
    </row>
    <row r="25" spans="1:11" x14ac:dyDescent="0.2">
      <c r="A25" s="532" t="s">
        <v>112</v>
      </c>
      <c r="B25" s="533">
        <v>226</v>
      </c>
      <c r="C25" s="533">
        <v>162</v>
      </c>
      <c r="D25" s="533">
        <f>'[1]1. melléklet'!D164</f>
        <v>300</v>
      </c>
      <c r="E25" s="533">
        <f>'[1]1. melléklet'!P164</f>
        <v>300</v>
      </c>
      <c r="F25" s="533"/>
      <c r="G25" s="532" t="s">
        <v>115</v>
      </c>
      <c r="H25" s="534">
        <v>0</v>
      </c>
      <c r="I25" s="534">
        <v>0</v>
      </c>
      <c r="J25" s="534">
        <v>0</v>
      </c>
      <c r="K25" s="534">
        <v>0</v>
      </c>
    </row>
    <row r="26" spans="1:11" x14ac:dyDescent="0.2">
      <c r="A26" s="532" t="s">
        <v>113</v>
      </c>
      <c r="B26" s="533">
        <v>811783</v>
      </c>
      <c r="C26" s="533">
        <v>2192283</v>
      </c>
      <c r="D26" s="533">
        <f>'[1]1. melléklet'!D192</f>
        <v>1695790</v>
      </c>
      <c r="E26" s="533">
        <f>'[1]1. melléklet'!P192</f>
        <v>1695811</v>
      </c>
      <c r="F26" s="533"/>
      <c r="G26" s="532" t="s">
        <v>122</v>
      </c>
      <c r="H26" s="534">
        <v>44310</v>
      </c>
      <c r="I26" s="534">
        <v>26389</v>
      </c>
      <c r="J26" s="534">
        <f>'[1]2. mell. 1. pont'!D264</f>
        <v>26389</v>
      </c>
      <c r="K26" s="534">
        <f>'[1]2. mell. 1. pont'!P264</f>
        <v>26389</v>
      </c>
    </row>
    <row r="27" spans="1:11" x14ac:dyDescent="0.2">
      <c r="A27" s="532" t="s">
        <v>114</v>
      </c>
      <c r="B27" s="533">
        <v>0</v>
      </c>
      <c r="C27" s="533">
        <v>0</v>
      </c>
      <c r="D27" s="533">
        <v>0</v>
      </c>
      <c r="E27" s="533">
        <v>0</v>
      </c>
      <c r="F27" s="533"/>
      <c r="G27" s="10"/>
      <c r="H27" s="10"/>
      <c r="I27" s="10"/>
      <c r="J27" s="10"/>
      <c r="K27" s="10"/>
    </row>
    <row r="28" spans="1:11" x14ac:dyDescent="0.2">
      <c r="A28" s="532"/>
      <c r="B28" s="533"/>
      <c r="C28" s="533"/>
      <c r="D28" s="533"/>
      <c r="E28" s="533"/>
      <c r="F28" s="533"/>
      <c r="G28" s="536"/>
      <c r="H28" s="534"/>
      <c r="I28" s="534"/>
      <c r="J28" s="534"/>
      <c r="K28" s="534"/>
    </row>
    <row r="29" spans="1:11" x14ac:dyDescent="0.2">
      <c r="A29" s="522" t="s">
        <v>116</v>
      </c>
      <c r="B29" s="538">
        <f>SUM(B21:B28)</f>
        <v>2896761</v>
      </c>
      <c r="C29" s="538">
        <f>SUM(C21:C28)</f>
        <v>2861257</v>
      </c>
      <c r="D29" s="538">
        <f>SUM(D21:D28)</f>
        <v>2348412</v>
      </c>
      <c r="E29" s="538">
        <f>SUM(E21:E28)</f>
        <v>2657582</v>
      </c>
      <c r="F29" s="538"/>
      <c r="G29" s="522" t="s">
        <v>117</v>
      </c>
      <c r="H29" s="540">
        <f>SUM(H21:H28)</f>
        <v>659506</v>
      </c>
      <c r="I29" s="540">
        <f>SUM(I21:I28)</f>
        <v>1531396</v>
      </c>
      <c r="J29" s="540">
        <f>SUM(J21:J28)</f>
        <v>2093164</v>
      </c>
      <c r="K29" s="540">
        <f>SUM(K21:K28)</f>
        <v>2442548</v>
      </c>
    </row>
    <row r="30" spans="1:11" x14ac:dyDescent="0.2">
      <c r="A30" s="522"/>
      <c r="B30" s="538"/>
      <c r="C30" s="538"/>
      <c r="D30" s="538"/>
      <c r="E30" s="538"/>
      <c r="F30" s="538"/>
      <c r="G30" s="522"/>
      <c r="H30" s="540"/>
      <c r="I30" s="540"/>
      <c r="J30" s="534"/>
      <c r="K30" s="534"/>
    </row>
    <row r="31" spans="1:11" x14ac:dyDescent="0.2">
      <c r="A31" s="522"/>
      <c r="B31" s="538"/>
      <c r="C31" s="538"/>
      <c r="D31" s="538"/>
      <c r="E31" s="538"/>
      <c r="F31" s="538"/>
      <c r="G31" s="522"/>
      <c r="H31" s="534"/>
      <c r="I31" s="534"/>
      <c r="J31" s="534"/>
      <c r="K31" s="534"/>
    </row>
    <row r="32" spans="1:11" x14ac:dyDescent="0.2">
      <c r="A32" s="542" t="s">
        <v>118</v>
      </c>
      <c r="B32" s="543">
        <f>B19+B29</f>
        <v>6215793</v>
      </c>
      <c r="C32" s="543">
        <f>C19+C29</f>
        <v>6612138</v>
      </c>
      <c r="D32" s="543">
        <f>D19+D29</f>
        <v>5548638</v>
      </c>
      <c r="E32" s="543">
        <f>E19+E29</f>
        <v>6411326</v>
      </c>
      <c r="F32" s="543"/>
      <c r="G32" s="542" t="s">
        <v>119</v>
      </c>
      <c r="H32" s="543">
        <f>H19+H29</f>
        <v>3709572</v>
      </c>
      <c r="I32" s="543">
        <f>I19+I29</f>
        <v>4915120</v>
      </c>
      <c r="J32" s="543">
        <f>J19+J29</f>
        <v>5548638</v>
      </c>
      <c r="K32" s="543">
        <f>K19+K29</f>
        <v>6411326</v>
      </c>
    </row>
  </sheetData>
  <mergeCells count="2">
    <mergeCell ref="A3:J3"/>
    <mergeCell ref="A4:J4"/>
  </mergeCells>
  <pageMargins left="0.7" right="0.7" top="0.75" bottom="0.75" header="0.3" footer="0.3"/>
  <pageSetup paperSize="9" scale="8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46454-FD62-438B-9AC3-98E84E97D6B4}">
  <dimension ref="A1:U26"/>
  <sheetViews>
    <sheetView view="pageBreakPreview" zoomScaleNormal="100" zoomScaleSheetLayoutView="100" workbookViewId="0">
      <selection activeCell="M1" sqref="M1"/>
    </sheetView>
  </sheetViews>
  <sheetFormatPr defaultRowHeight="12.75" x14ac:dyDescent="0.2"/>
  <cols>
    <col min="1" max="1" width="6.42578125" style="179" customWidth="1"/>
    <col min="2" max="2" width="30.7109375" style="186" customWidth="1"/>
    <col min="3" max="4" width="11.5703125" style="179" customWidth="1"/>
    <col min="5" max="12" width="9.85546875" style="179" bestFit="1" customWidth="1"/>
    <col min="13" max="13" width="10.7109375" style="179" customWidth="1"/>
    <col min="14" max="14" width="11.5703125" style="179" customWidth="1"/>
    <col min="15" max="16" width="11.28515625" style="180" customWidth="1"/>
    <col min="17" max="17" width="11.85546875" style="180" customWidth="1"/>
    <col min="18" max="20" width="11.28515625" style="180" customWidth="1"/>
    <col min="21" max="21" width="11.85546875" style="179" customWidth="1"/>
    <col min="22" max="256" width="9.140625" style="179"/>
    <col min="257" max="257" width="6.42578125" style="179" customWidth="1"/>
    <col min="258" max="258" width="30.7109375" style="179" customWidth="1"/>
    <col min="259" max="260" width="11.5703125" style="179" customWidth="1"/>
    <col min="261" max="262" width="8.7109375" style="179" customWidth="1"/>
    <col min="263" max="266" width="9.85546875" style="179" bestFit="1" customWidth="1"/>
    <col min="267" max="268" width="8.7109375" style="179" customWidth="1"/>
    <col min="269" max="269" width="10.7109375" style="179" customWidth="1"/>
    <col min="270" max="270" width="34.7109375" style="179" customWidth="1"/>
    <col min="271" max="272" width="11.28515625" style="179" customWidth="1"/>
    <col min="273" max="273" width="11.85546875" style="179" customWidth="1"/>
    <col min="274" max="276" width="11.28515625" style="179" customWidth="1"/>
    <col min="277" max="277" width="11.85546875" style="179" customWidth="1"/>
    <col min="278" max="512" width="9.140625" style="179"/>
    <col min="513" max="513" width="6.42578125" style="179" customWidth="1"/>
    <col min="514" max="514" width="30.7109375" style="179" customWidth="1"/>
    <col min="515" max="516" width="11.5703125" style="179" customWidth="1"/>
    <col min="517" max="518" width="8.7109375" style="179" customWidth="1"/>
    <col min="519" max="522" width="9.85546875" style="179" bestFit="1" customWidth="1"/>
    <col min="523" max="524" width="8.7109375" style="179" customWidth="1"/>
    <col min="525" max="525" width="10.7109375" style="179" customWidth="1"/>
    <col min="526" max="526" width="34.7109375" style="179" customWidth="1"/>
    <col min="527" max="528" width="11.28515625" style="179" customWidth="1"/>
    <col min="529" max="529" width="11.85546875" style="179" customWidth="1"/>
    <col min="530" max="532" width="11.28515625" style="179" customWidth="1"/>
    <col min="533" max="533" width="11.85546875" style="179" customWidth="1"/>
    <col min="534" max="768" width="9.140625" style="179"/>
    <col min="769" max="769" width="6.42578125" style="179" customWidth="1"/>
    <col min="770" max="770" width="30.7109375" style="179" customWidth="1"/>
    <col min="771" max="772" width="11.5703125" style="179" customWidth="1"/>
    <col min="773" max="774" width="8.7109375" style="179" customWidth="1"/>
    <col min="775" max="778" width="9.85546875" style="179" bestFit="1" customWidth="1"/>
    <col min="779" max="780" width="8.7109375" style="179" customWidth="1"/>
    <col min="781" max="781" width="10.7109375" style="179" customWidth="1"/>
    <col min="782" max="782" width="34.7109375" style="179" customWidth="1"/>
    <col min="783" max="784" width="11.28515625" style="179" customWidth="1"/>
    <col min="785" max="785" width="11.85546875" style="179" customWidth="1"/>
    <col min="786" max="788" width="11.28515625" style="179" customWidth="1"/>
    <col min="789" max="789" width="11.85546875" style="179" customWidth="1"/>
    <col min="790" max="1024" width="9.140625" style="179"/>
    <col min="1025" max="1025" width="6.42578125" style="179" customWidth="1"/>
    <col min="1026" max="1026" width="30.7109375" style="179" customWidth="1"/>
    <col min="1027" max="1028" width="11.5703125" style="179" customWidth="1"/>
    <col min="1029" max="1030" width="8.7109375" style="179" customWidth="1"/>
    <col min="1031" max="1034" width="9.85546875" style="179" bestFit="1" customWidth="1"/>
    <col min="1035" max="1036" width="8.7109375" style="179" customWidth="1"/>
    <col min="1037" max="1037" width="10.7109375" style="179" customWidth="1"/>
    <col min="1038" max="1038" width="34.7109375" style="179" customWidth="1"/>
    <col min="1039" max="1040" width="11.28515625" style="179" customWidth="1"/>
    <col min="1041" max="1041" width="11.85546875" style="179" customWidth="1"/>
    <col min="1042" max="1044" width="11.28515625" style="179" customWidth="1"/>
    <col min="1045" max="1045" width="11.85546875" style="179" customWidth="1"/>
    <col min="1046" max="1280" width="9.140625" style="179"/>
    <col min="1281" max="1281" width="6.42578125" style="179" customWidth="1"/>
    <col min="1282" max="1282" width="30.7109375" style="179" customWidth="1"/>
    <col min="1283" max="1284" width="11.5703125" style="179" customWidth="1"/>
    <col min="1285" max="1286" width="8.7109375" style="179" customWidth="1"/>
    <col min="1287" max="1290" width="9.85546875" style="179" bestFit="1" customWidth="1"/>
    <col min="1291" max="1292" width="8.7109375" style="179" customWidth="1"/>
    <col min="1293" max="1293" width="10.7109375" style="179" customWidth="1"/>
    <col min="1294" max="1294" width="34.7109375" style="179" customWidth="1"/>
    <col min="1295" max="1296" width="11.28515625" style="179" customWidth="1"/>
    <col min="1297" max="1297" width="11.85546875" style="179" customWidth="1"/>
    <col min="1298" max="1300" width="11.28515625" style="179" customWidth="1"/>
    <col min="1301" max="1301" width="11.85546875" style="179" customWidth="1"/>
    <col min="1302" max="1536" width="9.140625" style="179"/>
    <col min="1537" max="1537" width="6.42578125" style="179" customWidth="1"/>
    <col min="1538" max="1538" width="30.7109375" style="179" customWidth="1"/>
    <col min="1539" max="1540" width="11.5703125" style="179" customWidth="1"/>
    <col min="1541" max="1542" width="8.7109375" style="179" customWidth="1"/>
    <col min="1543" max="1546" width="9.85546875" style="179" bestFit="1" customWidth="1"/>
    <col min="1547" max="1548" width="8.7109375" style="179" customWidth="1"/>
    <col min="1549" max="1549" width="10.7109375" style="179" customWidth="1"/>
    <col min="1550" max="1550" width="34.7109375" style="179" customWidth="1"/>
    <col min="1551" max="1552" width="11.28515625" style="179" customWidth="1"/>
    <col min="1553" max="1553" width="11.85546875" style="179" customWidth="1"/>
    <col min="1554" max="1556" width="11.28515625" style="179" customWidth="1"/>
    <col min="1557" max="1557" width="11.85546875" style="179" customWidth="1"/>
    <col min="1558" max="1792" width="9.140625" style="179"/>
    <col min="1793" max="1793" width="6.42578125" style="179" customWidth="1"/>
    <col min="1794" max="1794" width="30.7109375" style="179" customWidth="1"/>
    <col min="1795" max="1796" width="11.5703125" style="179" customWidth="1"/>
    <col min="1797" max="1798" width="8.7109375" style="179" customWidth="1"/>
    <col min="1799" max="1802" width="9.85546875" style="179" bestFit="1" customWidth="1"/>
    <col min="1803" max="1804" width="8.7109375" style="179" customWidth="1"/>
    <col min="1805" max="1805" width="10.7109375" style="179" customWidth="1"/>
    <col min="1806" max="1806" width="34.7109375" style="179" customWidth="1"/>
    <col min="1807" max="1808" width="11.28515625" style="179" customWidth="1"/>
    <col min="1809" max="1809" width="11.85546875" style="179" customWidth="1"/>
    <col min="1810" max="1812" width="11.28515625" style="179" customWidth="1"/>
    <col min="1813" max="1813" width="11.85546875" style="179" customWidth="1"/>
    <col min="1814" max="2048" width="9.140625" style="179"/>
    <col min="2049" max="2049" width="6.42578125" style="179" customWidth="1"/>
    <col min="2050" max="2050" width="30.7109375" style="179" customWidth="1"/>
    <col min="2051" max="2052" width="11.5703125" style="179" customWidth="1"/>
    <col min="2053" max="2054" width="8.7109375" style="179" customWidth="1"/>
    <col min="2055" max="2058" width="9.85546875" style="179" bestFit="1" customWidth="1"/>
    <col min="2059" max="2060" width="8.7109375" style="179" customWidth="1"/>
    <col min="2061" max="2061" width="10.7109375" style="179" customWidth="1"/>
    <col min="2062" max="2062" width="34.7109375" style="179" customWidth="1"/>
    <col min="2063" max="2064" width="11.28515625" style="179" customWidth="1"/>
    <col min="2065" max="2065" width="11.85546875" style="179" customWidth="1"/>
    <col min="2066" max="2068" width="11.28515625" style="179" customWidth="1"/>
    <col min="2069" max="2069" width="11.85546875" style="179" customWidth="1"/>
    <col min="2070" max="2304" width="9.140625" style="179"/>
    <col min="2305" max="2305" width="6.42578125" style="179" customWidth="1"/>
    <col min="2306" max="2306" width="30.7109375" style="179" customWidth="1"/>
    <col min="2307" max="2308" width="11.5703125" style="179" customWidth="1"/>
    <col min="2309" max="2310" width="8.7109375" style="179" customWidth="1"/>
    <col min="2311" max="2314" width="9.85546875" style="179" bestFit="1" customWidth="1"/>
    <col min="2315" max="2316" width="8.7109375" style="179" customWidth="1"/>
    <col min="2317" max="2317" width="10.7109375" style="179" customWidth="1"/>
    <col min="2318" max="2318" width="34.7109375" style="179" customWidth="1"/>
    <col min="2319" max="2320" width="11.28515625" style="179" customWidth="1"/>
    <col min="2321" max="2321" width="11.85546875" style="179" customWidth="1"/>
    <col min="2322" max="2324" width="11.28515625" style="179" customWidth="1"/>
    <col min="2325" max="2325" width="11.85546875" style="179" customWidth="1"/>
    <col min="2326" max="2560" width="9.140625" style="179"/>
    <col min="2561" max="2561" width="6.42578125" style="179" customWidth="1"/>
    <col min="2562" max="2562" width="30.7109375" style="179" customWidth="1"/>
    <col min="2563" max="2564" width="11.5703125" style="179" customWidth="1"/>
    <col min="2565" max="2566" width="8.7109375" style="179" customWidth="1"/>
    <col min="2567" max="2570" width="9.85546875" style="179" bestFit="1" customWidth="1"/>
    <col min="2571" max="2572" width="8.7109375" style="179" customWidth="1"/>
    <col min="2573" max="2573" width="10.7109375" style="179" customWidth="1"/>
    <col min="2574" max="2574" width="34.7109375" style="179" customWidth="1"/>
    <col min="2575" max="2576" width="11.28515625" style="179" customWidth="1"/>
    <col min="2577" max="2577" width="11.85546875" style="179" customWidth="1"/>
    <col min="2578" max="2580" width="11.28515625" style="179" customWidth="1"/>
    <col min="2581" max="2581" width="11.85546875" style="179" customWidth="1"/>
    <col min="2582" max="2816" width="9.140625" style="179"/>
    <col min="2817" max="2817" width="6.42578125" style="179" customWidth="1"/>
    <col min="2818" max="2818" width="30.7109375" style="179" customWidth="1"/>
    <col min="2819" max="2820" width="11.5703125" style="179" customWidth="1"/>
    <col min="2821" max="2822" width="8.7109375" style="179" customWidth="1"/>
    <col min="2823" max="2826" width="9.85546875" style="179" bestFit="1" customWidth="1"/>
    <col min="2827" max="2828" width="8.7109375" style="179" customWidth="1"/>
    <col min="2829" max="2829" width="10.7109375" style="179" customWidth="1"/>
    <col min="2830" max="2830" width="34.7109375" style="179" customWidth="1"/>
    <col min="2831" max="2832" width="11.28515625" style="179" customWidth="1"/>
    <col min="2833" max="2833" width="11.85546875" style="179" customWidth="1"/>
    <col min="2834" max="2836" width="11.28515625" style="179" customWidth="1"/>
    <col min="2837" max="2837" width="11.85546875" style="179" customWidth="1"/>
    <col min="2838" max="3072" width="9.140625" style="179"/>
    <col min="3073" max="3073" width="6.42578125" style="179" customWidth="1"/>
    <col min="3074" max="3074" width="30.7109375" style="179" customWidth="1"/>
    <col min="3075" max="3076" width="11.5703125" style="179" customWidth="1"/>
    <col min="3077" max="3078" width="8.7109375" style="179" customWidth="1"/>
    <col min="3079" max="3082" width="9.85546875" style="179" bestFit="1" customWidth="1"/>
    <col min="3083" max="3084" width="8.7109375" style="179" customWidth="1"/>
    <col min="3085" max="3085" width="10.7109375" style="179" customWidth="1"/>
    <col min="3086" max="3086" width="34.7109375" style="179" customWidth="1"/>
    <col min="3087" max="3088" width="11.28515625" style="179" customWidth="1"/>
    <col min="3089" max="3089" width="11.85546875" style="179" customWidth="1"/>
    <col min="3090" max="3092" width="11.28515625" style="179" customWidth="1"/>
    <col min="3093" max="3093" width="11.85546875" style="179" customWidth="1"/>
    <col min="3094" max="3328" width="9.140625" style="179"/>
    <col min="3329" max="3329" width="6.42578125" style="179" customWidth="1"/>
    <col min="3330" max="3330" width="30.7109375" style="179" customWidth="1"/>
    <col min="3331" max="3332" width="11.5703125" style="179" customWidth="1"/>
    <col min="3333" max="3334" width="8.7109375" style="179" customWidth="1"/>
    <col min="3335" max="3338" width="9.85546875" style="179" bestFit="1" customWidth="1"/>
    <col min="3339" max="3340" width="8.7109375" style="179" customWidth="1"/>
    <col min="3341" max="3341" width="10.7109375" style="179" customWidth="1"/>
    <col min="3342" max="3342" width="34.7109375" style="179" customWidth="1"/>
    <col min="3343" max="3344" width="11.28515625" style="179" customWidth="1"/>
    <col min="3345" max="3345" width="11.85546875" style="179" customWidth="1"/>
    <col min="3346" max="3348" width="11.28515625" style="179" customWidth="1"/>
    <col min="3349" max="3349" width="11.85546875" style="179" customWidth="1"/>
    <col min="3350" max="3584" width="9.140625" style="179"/>
    <col min="3585" max="3585" width="6.42578125" style="179" customWidth="1"/>
    <col min="3586" max="3586" width="30.7109375" style="179" customWidth="1"/>
    <col min="3587" max="3588" width="11.5703125" style="179" customWidth="1"/>
    <col min="3589" max="3590" width="8.7109375" style="179" customWidth="1"/>
    <col min="3591" max="3594" width="9.85546875" style="179" bestFit="1" customWidth="1"/>
    <col min="3595" max="3596" width="8.7109375" style="179" customWidth="1"/>
    <col min="3597" max="3597" width="10.7109375" style="179" customWidth="1"/>
    <col min="3598" max="3598" width="34.7109375" style="179" customWidth="1"/>
    <col min="3599" max="3600" width="11.28515625" style="179" customWidth="1"/>
    <col min="3601" max="3601" width="11.85546875" style="179" customWidth="1"/>
    <col min="3602" max="3604" width="11.28515625" style="179" customWidth="1"/>
    <col min="3605" max="3605" width="11.85546875" style="179" customWidth="1"/>
    <col min="3606" max="3840" width="9.140625" style="179"/>
    <col min="3841" max="3841" width="6.42578125" style="179" customWidth="1"/>
    <col min="3842" max="3842" width="30.7109375" style="179" customWidth="1"/>
    <col min="3843" max="3844" width="11.5703125" style="179" customWidth="1"/>
    <col min="3845" max="3846" width="8.7109375" style="179" customWidth="1"/>
    <col min="3847" max="3850" width="9.85546875" style="179" bestFit="1" customWidth="1"/>
    <col min="3851" max="3852" width="8.7109375" style="179" customWidth="1"/>
    <col min="3853" max="3853" width="10.7109375" style="179" customWidth="1"/>
    <col min="3854" max="3854" width="34.7109375" style="179" customWidth="1"/>
    <col min="3855" max="3856" width="11.28515625" style="179" customWidth="1"/>
    <col min="3857" max="3857" width="11.85546875" style="179" customWidth="1"/>
    <col min="3858" max="3860" width="11.28515625" style="179" customWidth="1"/>
    <col min="3861" max="3861" width="11.85546875" style="179" customWidth="1"/>
    <col min="3862" max="4096" width="9.140625" style="179"/>
    <col min="4097" max="4097" width="6.42578125" style="179" customWidth="1"/>
    <col min="4098" max="4098" width="30.7109375" style="179" customWidth="1"/>
    <col min="4099" max="4100" width="11.5703125" style="179" customWidth="1"/>
    <col min="4101" max="4102" width="8.7109375" style="179" customWidth="1"/>
    <col min="4103" max="4106" width="9.85546875" style="179" bestFit="1" customWidth="1"/>
    <col min="4107" max="4108" width="8.7109375" style="179" customWidth="1"/>
    <col min="4109" max="4109" width="10.7109375" style="179" customWidth="1"/>
    <col min="4110" max="4110" width="34.7109375" style="179" customWidth="1"/>
    <col min="4111" max="4112" width="11.28515625" style="179" customWidth="1"/>
    <col min="4113" max="4113" width="11.85546875" style="179" customWidth="1"/>
    <col min="4114" max="4116" width="11.28515625" style="179" customWidth="1"/>
    <col min="4117" max="4117" width="11.85546875" style="179" customWidth="1"/>
    <col min="4118" max="4352" width="9.140625" style="179"/>
    <col min="4353" max="4353" width="6.42578125" style="179" customWidth="1"/>
    <col min="4354" max="4354" width="30.7109375" style="179" customWidth="1"/>
    <col min="4355" max="4356" width="11.5703125" style="179" customWidth="1"/>
    <col min="4357" max="4358" width="8.7109375" style="179" customWidth="1"/>
    <col min="4359" max="4362" width="9.85546875" style="179" bestFit="1" customWidth="1"/>
    <col min="4363" max="4364" width="8.7109375" style="179" customWidth="1"/>
    <col min="4365" max="4365" width="10.7109375" style="179" customWidth="1"/>
    <col min="4366" max="4366" width="34.7109375" style="179" customWidth="1"/>
    <col min="4367" max="4368" width="11.28515625" style="179" customWidth="1"/>
    <col min="4369" max="4369" width="11.85546875" style="179" customWidth="1"/>
    <col min="4370" max="4372" width="11.28515625" style="179" customWidth="1"/>
    <col min="4373" max="4373" width="11.85546875" style="179" customWidth="1"/>
    <col min="4374" max="4608" width="9.140625" style="179"/>
    <col min="4609" max="4609" width="6.42578125" style="179" customWidth="1"/>
    <col min="4610" max="4610" width="30.7109375" style="179" customWidth="1"/>
    <col min="4611" max="4612" width="11.5703125" style="179" customWidth="1"/>
    <col min="4613" max="4614" width="8.7109375" style="179" customWidth="1"/>
    <col min="4615" max="4618" width="9.85546875" style="179" bestFit="1" customWidth="1"/>
    <col min="4619" max="4620" width="8.7109375" style="179" customWidth="1"/>
    <col min="4621" max="4621" width="10.7109375" style="179" customWidth="1"/>
    <col min="4622" max="4622" width="34.7109375" style="179" customWidth="1"/>
    <col min="4623" max="4624" width="11.28515625" style="179" customWidth="1"/>
    <col min="4625" max="4625" width="11.85546875" style="179" customWidth="1"/>
    <col min="4626" max="4628" width="11.28515625" style="179" customWidth="1"/>
    <col min="4629" max="4629" width="11.85546875" style="179" customWidth="1"/>
    <col min="4630" max="4864" width="9.140625" style="179"/>
    <col min="4865" max="4865" width="6.42578125" style="179" customWidth="1"/>
    <col min="4866" max="4866" width="30.7109375" style="179" customWidth="1"/>
    <col min="4867" max="4868" width="11.5703125" style="179" customWidth="1"/>
    <col min="4869" max="4870" width="8.7109375" style="179" customWidth="1"/>
    <col min="4871" max="4874" width="9.85546875" style="179" bestFit="1" customWidth="1"/>
    <col min="4875" max="4876" width="8.7109375" style="179" customWidth="1"/>
    <col min="4877" max="4877" width="10.7109375" style="179" customWidth="1"/>
    <col min="4878" max="4878" width="34.7109375" style="179" customWidth="1"/>
    <col min="4879" max="4880" width="11.28515625" style="179" customWidth="1"/>
    <col min="4881" max="4881" width="11.85546875" style="179" customWidth="1"/>
    <col min="4882" max="4884" width="11.28515625" style="179" customWidth="1"/>
    <col min="4885" max="4885" width="11.85546875" style="179" customWidth="1"/>
    <col min="4886" max="5120" width="9.140625" style="179"/>
    <col min="5121" max="5121" width="6.42578125" style="179" customWidth="1"/>
    <col min="5122" max="5122" width="30.7109375" style="179" customWidth="1"/>
    <col min="5123" max="5124" width="11.5703125" style="179" customWidth="1"/>
    <col min="5125" max="5126" width="8.7109375" style="179" customWidth="1"/>
    <col min="5127" max="5130" width="9.85546875" style="179" bestFit="1" customWidth="1"/>
    <col min="5131" max="5132" width="8.7109375" style="179" customWidth="1"/>
    <col min="5133" max="5133" width="10.7109375" style="179" customWidth="1"/>
    <col min="5134" max="5134" width="34.7109375" style="179" customWidth="1"/>
    <col min="5135" max="5136" width="11.28515625" style="179" customWidth="1"/>
    <col min="5137" max="5137" width="11.85546875" style="179" customWidth="1"/>
    <col min="5138" max="5140" width="11.28515625" style="179" customWidth="1"/>
    <col min="5141" max="5141" width="11.85546875" style="179" customWidth="1"/>
    <col min="5142" max="5376" width="9.140625" style="179"/>
    <col min="5377" max="5377" width="6.42578125" style="179" customWidth="1"/>
    <col min="5378" max="5378" width="30.7109375" style="179" customWidth="1"/>
    <col min="5379" max="5380" width="11.5703125" style="179" customWidth="1"/>
    <col min="5381" max="5382" width="8.7109375" style="179" customWidth="1"/>
    <col min="5383" max="5386" width="9.85546875" style="179" bestFit="1" customWidth="1"/>
    <col min="5387" max="5388" width="8.7109375" style="179" customWidth="1"/>
    <col min="5389" max="5389" width="10.7109375" style="179" customWidth="1"/>
    <col min="5390" max="5390" width="34.7109375" style="179" customWidth="1"/>
    <col min="5391" max="5392" width="11.28515625" style="179" customWidth="1"/>
    <col min="5393" max="5393" width="11.85546875" style="179" customWidth="1"/>
    <col min="5394" max="5396" width="11.28515625" style="179" customWidth="1"/>
    <col min="5397" max="5397" width="11.85546875" style="179" customWidth="1"/>
    <col min="5398" max="5632" width="9.140625" style="179"/>
    <col min="5633" max="5633" width="6.42578125" style="179" customWidth="1"/>
    <col min="5634" max="5634" width="30.7109375" style="179" customWidth="1"/>
    <col min="5635" max="5636" width="11.5703125" style="179" customWidth="1"/>
    <col min="5637" max="5638" width="8.7109375" style="179" customWidth="1"/>
    <col min="5639" max="5642" width="9.85546875" style="179" bestFit="1" customWidth="1"/>
    <col min="5643" max="5644" width="8.7109375" style="179" customWidth="1"/>
    <col min="5645" max="5645" width="10.7109375" style="179" customWidth="1"/>
    <col min="5646" max="5646" width="34.7109375" style="179" customWidth="1"/>
    <col min="5647" max="5648" width="11.28515625" style="179" customWidth="1"/>
    <col min="5649" max="5649" width="11.85546875" style="179" customWidth="1"/>
    <col min="5650" max="5652" width="11.28515625" style="179" customWidth="1"/>
    <col min="5653" max="5653" width="11.85546875" style="179" customWidth="1"/>
    <col min="5654" max="5888" width="9.140625" style="179"/>
    <col min="5889" max="5889" width="6.42578125" style="179" customWidth="1"/>
    <col min="5890" max="5890" width="30.7109375" style="179" customWidth="1"/>
    <col min="5891" max="5892" width="11.5703125" style="179" customWidth="1"/>
    <col min="5893" max="5894" width="8.7109375" style="179" customWidth="1"/>
    <col min="5895" max="5898" width="9.85546875" style="179" bestFit="1" customWidth="1"/>
    <col min="5899" max="5900" width="8.7109375" style="179" customWidth="1"/>
    <col min="5901" max="5901" width="10.7109375" style="179" customWidth="1"/>
    <col min="5902" max="5902" width="34.7109375" style="179" customWidth="1"/>
    <col min="5903" max="5904" width="11.28515625" style="179" customWidth="1"/>
    <col min="5905" max="5905" width="11.85546875" style="179" customWidth="1"/>
    <col min="5906" max="5908" width="11.28515625" style="179" customWidth="1"/>
    <col min="5909" max="5909" width="11.85546875" style="179" customWidth="1"/>
    <col min="5910" max="6144" width="9.140625" style="179"/>
    <col min="6145" max="6145" width="6.42578125" style="179" customWidth="1"/>
    <col min="6146" max="6146" width="30.7109375" style="179" customWidth="1"/>
    <col min="6147" max="6148" width="11.5703125" style="179" customWidth="1"/>
    <col min="6149" max="6150" width="8.7109375" style="179" customWidth="1"/>
    <col min="6151" max="6154" width="9.85546875" style="179" bestFit="1" customWidth="1"/>
    <col min="6155" max="6156" width="8.7109375" style="179" customWidth="1"/>
    <col min="6157" max="6157" width="10.7109375" style="179" customWidth="1"/>
    <col min="6158" max="6158" width="34.7109375" style="179" customWidth="1"/>
    <col min="6159" max="6160" width="11.28515625" style="179" customWidth="1"/>
    <col min="6161" max="6161" width="11.85546875" style="179" customWidth="1"/>
    <col min="6162" max="6164" width="11.28515625" style="179" customWidth="1"/>
    <col min="6165" max="6165" width="11.85546875" style="179" customWidth="1"/>
    <col min="6166" max="6400" width="9.140625" style="179"/>
    <col min="6401" max="6401" width="6.42578125" style="179" customWidth="1"/>
    <col min="6402" max="6402" width="30.7109375" style="179" customWidth="1"/>
    <col min="6403" max="6404" width="11.5703125" style="179" customWidth="1"/>
    <col min="6405" max="6406" width="8.7109375" style="179" customWidth="1"/>
    <col min="6407" max="6410" width="9.85546875" style="179" bestFit="1" customWidth="1"/>
    <col min="6411" max="6412" width="8.7109375" style="179" customWidth="1"/>
    <col min="6413" max="6413" width="10.7109375" style="179" customWidth="1"/>
    <col min="6414" max="6414" width="34.7109375" style="179" customWidth="1"/>
    <col min="6415" max="6416" width="11.28515625" style="179" customWidth="1"/>
    <col min="6417" max="6417" width="11.85546875" style="179" customWidth="1"/>
    <col min="6418" max="6420" width="11.28515625" style="179" customWidth="1"/>
    <col min="6421" max="6421" width="11.85546875" style="179" customWidth="1"/>
    <col min="6422" max="6656" width="9.140625" style="179"/>
    <col min="6657" max="6657" width="6.42578125" style="179" customWidth="1"/>
    <col min="6658" max="6658" width="30.7109375" style="179" customWidth="1"/>
    <col min="6659" max="6660" width="11.5703125" style="179" customWidth="1"/>
    <col min="6661" max="6662" width="8.7109375" style="179" customWidth="1"/>
    <col min="6663" max="6666" width="9.85546875" style="179" bestFit="1" customWidth="1"/>
    <col min="6667" max="6668" width="8.7109375" style="179" customWidth="1"/>
    <col min="6669" max="6669" width="10.7109375" style="179" customWidth="1"/>
    <col min="6670" max="6670" width="34.7109375" style="179" customWidth="1"/>
    <col min="6671" max="6672" width="11.28515625" style="179" customWidth="1"/>
    <col min="6673" max="6673" width="11.85546875" style="179" customWidth="1"/>
    <col min="6674" max="6676" width="11.28515625" style="179" customWidth="1"/>
    <col min="6677" max="6677" width="11.85546875" style="179" customWidth="1"/>
    <col min="6678" max="6912" width="9.140625" style="179"/>
    <col min="6913" max="6913" width="6.42578125" style="179" customWidth="1"/>
    <col min="6914" max="6914" width="30.7109375" style="179" customWidth="1"/>
    <col min="6915" max="6916" width="11.5703125" style="179" customWidth="1"/>
    <col min="6917" max="6918" width="8.7109375" style="179" customWidth="1"/>
    <col min="6919" max="6922" width="9.85546875" style="179" bestFit="1" customWidth="1"/>
    <col min="6923" max="6924" width="8.7109375" style="179" customWidth="1"/>
    <col min="6925" max="6925" width="10.7109375" style="179" customWidth="1"/>
    <col min="6926" max="6926" width="34.7109375" style="179" customWidth="1"/>
    <col min="6927" max="6928" width="11.28515625" style="179" customWidth="1"/>
    <col min="6929" max="6929" width="11.85546875" style="179" customWidth="1"/>
    <col min="6930" max="6932" width="11.28515625" style="179" customWidth="1"/>
    <col min="6933" max="6933" width="11.85546875" style="179" customWidth="1"/>
    <col min="6934" max="7168" width="9.140625" style="179"/>
    <col min="7169" max="7169" width="6.42578125" style="179" customWidth="1"/>
    <col min="7170" max="7170" width="30.7109375" style="179" customWidth="1"/>
    <col min="7171" max="7172" width="11.5703125" style="179" customWidth="1"/>
    <col min="7173" max="7174" width="8.7109375" style="179" customWidth="1"/>
    <col min="7175" max="7178" width="9.85546875" style="179" bestFit="1" customWidth="1"/>
    <col min="7179" max="7180" width="8.7109375" style="179" customWidth="1"/>
    <col min="7181" max="7181" width="10.7109375" style="179" customWidth="1"/>
    <col min="7182" max="7182" width="34.7109375" style="179" customWidth="1"/>
    <col min="7183" max="7184" width="11.28515625" style="179" customWidth="1"/>
    <col min="7185" max="7185" width="11.85546875" style="179" customWidth="1"/>
    <col min="7186" max="7188" width="11.28515625" style="179" customWidth="1"/>
    <col min="7189" max="7189" width="11.85546875" style="179" customWidth="1"/>
    <col min="7190" max="7424" width="9.140625" style="179"/>
    <col min="7425" max="7425" width="6.42578125" style="179" customWidth="1"/>
    <col min="7426" max="7426" width="30.7109375" style="179" customWidth="1"/>
    <col min="7427" max="7428" width="11.5703125" style="179" customWidth="1"/>
    <col min="7429" max="7430" width="8.7109375" style="179" customWidth="1"/>
    <col min="7431" max="7434" width="9.85546875" style="179" bestFit="1" customWidth="1"/>
    <col min="7435" max="7436" width="8.7109375" style="179" customWidth="1"/>
    <col min="7437" max="7437" width="10.7109375" style="179" customWidth="1"/>
    <col min="7438" max="7438" width="34.7109375" style="179" customWidth="1"/>
    <col min="7439" max="7440" width="11.28515625" style="179" customWidth="1"/>
    <col min="7441" max="7441" width="11.85546875" style="179" customWidth="1"/>
    <col min="7442" max="7444" width="11.28515625" style="179" customWidth="1"/>
    <col min="7445" max="7445" width="11.85546875" style="179" customWidth="1"/>
    <col min="7446" max="7680" width="9.140625" style="179"/>
    <col min="7681" max="7681" width="6.42578125" style="179" customWidth="1"/>
    <col min="7682" max="7682" width="30.7109375" style="179" customWidth="1"/>
    <col min="7683" max="7684" width="11.5703125" style="179" customWidth="1"/>
    <col min="7685" max="7686" width="8.7109375" style="179" customWidth="1"/>
    <col min="7687" max="7690" width="9.85546875" style="179" bestFit="1" customWidth="1"/>
    <col min="7691" max="7692" width="8.7109375" style="179" customWidth="1"/>
    <col min="7693" max="7693" width="10.7109375" style="179" customWidth="1"/>
    <col min="7694" max="7694" width="34.7109375" style="179" customWidth="1"/>
    <col min="7695" max="7696" width="11.28515625" style="179" customWidth="1"/>
    <col min="7697" max="7697" width="11.85546875" style="179" customWidth="1"/>
    <col min="7698" max="7700" width="11.28515625" style="179" customWidth="1"/>
    <col min="7701" max="7701" width="11.85546875" style="179" customWidth="1"/>
    <col min="7702" max="7936" width="9.140625" style="179"/>
    <col min="7937" max="7937" width="6.42578125" style="179" customWidth="1"/>
    <col min="7938" max="7938" width="30.7109375" style="179" customWidth="1"/>
    <col min="7939" max="7940" width="11.5703125" style="179" customWidth="1"/>
    <col min="7941" max="7942" width="8.7109375" style="179" customWidth="1"/>
    <col min="7943" max="7946" width="9.85546875" style="179" bestFit="1" customWidth="1"/>
    <col min="7947" max="7948" width="8.7109375" style="179" customWidth="1"/>
    <col min="7949" max="7949" width="10.7109375" style="179" customWidth="1"/>
    <col min="7950" max="7950" width="34.7109375" style="179" customWidth="1"/>
    <col min="7951" max="7952" width="11.28515625" style="179" customWidth="1"/>
    <col min="7953" max="7953" width="11.85546875" style="179" customWidth="1"/>
    <col min="7954" max="7956" width="11.28515625" style="179" customWidth="1"/>
    <col min="7957" max="7957" width="11.85546875" style="179" customWidth="1"/>
    <col min="7958" max="8192" width="9.140625" style="179"/>
    <col min="8193" max="8193" width="6.42578125" style="179" customWidth="1"/>
    <col min="8194" max="8194" width="30.7109375" style="179" customWidth="1"/>
    <col min="8195" max="8196" width="11.5703125" style="179" customWidth="1"/>
    <col min="8197" max="8198" width="8.7109375" style="179" customWidth="1"/>
    <col min="8199" max="8202" width="9.85546875" style="179" bestFit="1" customWidth="1"/>
    <col min="8203" max="8204" width="8.7109375" style="179" customWidth="1"/>
    <col min="8205" max="8205" width="10.7109375" style="179" customWidth="1"/>
    <col min="8206" max="8206" width="34.7109375" style="179" customWidth="1"/>
    <col min="8207" max="8208" width="11.28515625" style="179" customWidth="1"/>
    <col min="8209" max="8209" width="11.85546875" style="179" customWidth="1"/>
    <col min="8210" max="8212" width="11.28515625" style="179" customWidth="1"/>
    <col min="8213" max="8213" width="11.85546875" style="179" customWidth="1"/>
    <col min="8214" max="8448" width="9.140625" style="179"/>
    <col min="8449" max="8449" width="6.42578125" style="179" customWidth="1"/>
    <col min="8450" max="8450" width="30.7109375" style="179" customWidth="1"/>
    <col min="8451" max="8452" width="11.5703125" style="179" customWidth="1"/>
    <col min="8453" max="8454" width="8.7109375" style="179" customWidth="1"/>
    <col min="8455" max="8458" width="9.85546875" style="179" bestFit="1" customWidth="1"/>
    <col min="8459" max="8460" width="8.7109375" style="179" customWidth="1"/>
    <col min="8461" max="8461" width="10.7109375" style="179" customWidth="1"/>
    <col min="8462" max="8462" width="34.7109375" style="179" customWidth="1"/>
    <col min="8463" max="8464" width="11.28515625" style="179" customWidth="1"/>
    <col min="8465" max="8465" width="11.85546875" style="179" customWidth="1"/>
    <col min="8466" max="8468" width="11.28515625" style="179" customWidth="1"/>
    <col min="8469" max="8469" width="11.85546875" style="179" customWidth="1"/>
    <col min="8470" max="8704" width="9.140625" style="179"/>
    <col min="8705" max="8705" width="6.42578125" style="179" customWidth="1"/>
    <col min="8706" max="8706" width="30.7109375" style="179" customWidth="1"/>
    <col min="8707" max="8708" width="11.5703125" style="179" customWidth="1"/>
    <col min="8709" max="8710" width="8.7109375" style="179" customWidth="1"/>
    <col min="8711" max="8714" width="9.85546875" style="179" bestFit="1" customWidth="1"/>
    <col min="8715" max="8716" width="8.7109375" style="179" customWidth="1"/>
    <col min="8717" max="8717" width="10.7109375" style="179" customWidth="1"/>
    <col min="8718" max="8718" width="34.7109375" style="179" customWidth="1"/>
    <col min="8719" max="8720" width="11.28515625" style="179" customWidth="1"/>
    <col min="8721" max="8721" width="11.85546875" style="179" customWidth="1"/>
    <col min="8722" max="8724" width="11.28515625" style="179" customWidth="1"/>
    <col min="8725" max="8725" width="11.85546875" style="179" customWidth="1"/>
    <col min="8726" max="8960" width="9.140625" style="179"/>
    <col min="8961" max="8961" width="6.42578125" style="179" customWidth="1"/>
    <col min="8962" max="8962" width="30.7109375" style="179" customWidth="1"/>
    <col min="8963" max="8964" width="11.5703125" style="179" customWidth="1"/>
    <col min="8965" max="8966" width="8.7109375" style="179" customWidth="1"/>
    <col min="8967" max="8970" width="9.85546875" style="179" bestFit="1" customWidth="1"/>
    <col min="8971" max="8972" width="8.7109375" style="179" customWidth="1"/>
    <col min="8973" max="8973" width="10.7109375" style="179" customWidth="1"/>
    <col min="8974" max="8974" width="34.7109375" style="179" customWidth="1"/>
    <col min="8975" max="8976" width="11.28515625" style="179" customWidth="1"/>
    <col min="8977" max="8977" width="11.85546875" style="179" customWidth="1"/>
    <col min="8978" max="8980" width="11.28515625" style="179" customWidth="1"/>
    <col min="8981" max="8981" width="11.85546875" style="179" customWidth="1"/>
    <col min="8982" max="9216" width="9.140625" style="179"/>
    <col min="9217" max="9217" width="6.42578125" style="179" customWidth="1"/>
    <col min="9218" max="9218" width="30.7109375" style="179" customWidth="1"/>
    <col min="9219" max="9220" width="11.5703125" style="179" customWidth="1"/>
    <col min="9221" max="9222" width="8.7109375" style="179" customWidth="1"/>
    <col min="9223" max="9226" width="9.85546875" style="179" bestFit="1" customWidth="1"/>
    <col min="9227" max="9228" width="8.7109375" style="179" customWidth="1"/>
    <col min="9229" max="9229" width="10.7109375" style="179" customWidth="1"/>
    <col min="9230" max="9230" width="34.7109375" style="179" customWidth="1"/>
    <col min="9231" max="9232" width="11.28515625" style="179" customWidth="1"/>
    <col min="9233" max="9233" width="11.85546875" style="179" customWidth="1"/>
    <col min="9234" max="9236" width="11.28515625" style="179" customWidth="1"/>
    <col min="9237" max="9237" width="11.85546875" style="179" customWidth="1"/>
    <col min="9238" max="9472" width="9.140625" style="179"/>
    <col min="9473" max="9473" width="6.42578125" style="179" customWidth="1"/>
    <col min="9474" max="9474" width="30.7109375" style="179" customWidth="1"/>
    <col min="9475" max="9476" width="11.5703125" style="179" customWidth="1"/>
    <col min="9477" max="9478" width="8.7109375" style="179" customWidth="1"/>
    <col min="9479" max="9482" width="9.85546875" style="179" bestFit="1" customWidth="1"/>
    <col min="9483" max="9484" width="8.7109375" style="179" customWidth="1"/>
    <col min="9485" max="9485" width="10.7109375" style="179" customWidth="1"/>
    <col min="9486" max="9486" width="34.7109375" style="179" customWidth="1"/>
    <col min="9487" max="9488" width="11.28515625" style="179" customWidth="1"/>
    <col min="9489" max="9489" width="11.85546875" style="179" customWidth="1"/>
    <col min="9490" max="9492" width="11.28515625" style="179" customWidth="1"/>
    <col min="9493" max="9493" width="11.85546875" style="179" customWidth="1"/>
    <col min="9494" max="9728" width="9.140625" style="179"/>
    <col min="9729" max="9729" width="6.42578125" style="179" customWidth="1"/>
    <col min="9730" max="9730" width="30.7109375" style="179" customWidth="1"/>
    <col min="9731" max="9732" width="11.5703125" style="179" customWidth="1"/>
    <col min="9733" max="9734" width="8.7109375" style="179" customWidth="1"/>
    <col min="9735" max="9738" width="9.85546875" style="179" bestFit="1" customWidth="1"/>
    <col min="9739" max="9740" width="8.7109375" style="179" customWidth="1"/>
    <col min="9741" max="9741" width="10.7109375" style="179" customWidth="1"/>
    <col min="9742" max="9742" width="34.7109375" style="179" customWidth="1"/>
    <col min="9743" max="9744" width="11.28515625" style="179" customWidth="1"/>
    <col min="9745" max="9745" width="11.85546875" style="179" customWidth="1"/>
    <col min="9746" max="9748" width="11.28515625" style="179" customWidth="1"/>
    <col min="9749" max="9749" width="11.85546875" style="179" customWidth="1"/>
    <col min="9750" max="9984" width="9.140625" style="179"/>
    <col min="9985" max="9985" width="6.42578125" style="179" customWidth="1"/>
    <col min="9986" max="9986" width="30.7109375" style="179" customWidth="1"/>
    <col min="9987" max="9988" width="11.5703125" style="179" customWidth="1"/>
    <col min="9989" max="9990" width="8.7109375" style="179" customWidth="1"/>
    <col min="9991" max="9994" width="9.85546875" style="179" bestFit="1" customWidth="1"/>
    <col min="9995" max="9996" width="8.7109375" style="179" customWidth="1"/>
    <col min="9997" max="9997" width="10.7109375" style="179" customWidth="1"/>
    <col min="9998" max="9998" width="34.7109375" style="179" customWidth="1"/>
    <col min="9999" max="10000" width="11.28515625" style="179" customWidth="1"/>
    <col min="10001" max="10001" width="11.85546875" style="179" customWidth="1"/>
    <col min="10002" max="10004" width="11.28515625" style="179" customWidth="1"/>
    <col min="10005" max="10005" width="11.85546875" style="179" customWidth="1"/>
    <col min="10006" max="10240" width="9.140625" style="179"/>
    <col min="10241" max="10241" width="6.42578125" style="179" customWidth="1"/>
    <col min="10242" max="10242" width="30.7109375" style="179" customWidth="1"/>
    <col min="10243" max="10244" width="11.5703125" style="179" customWidth="1"/>
    <col min="10245" max="10246" width="8.7109375" style="179" customWidth="1"/>
    <col min="10247" max="10250" width="9.85546875" style="179" bestFit="1" customWidth="1"/>
    <col min="10251" max="10252" width="8.7109375" style="179" customWidth="1"/>
    <col min="10253" max="10253" width="10.7109375" style="179" customWidth="1"/>
    <col min="10254" max="10254" width="34.7109375" style="179" customWidth="1"/>
    <col min="10255" max="10256" width="11.28515625" style="179" customWidth="1"/>
    <col min="10257" max="10257" width="11.85546875" style="179" customWidth="1"/>
    <col min="10258" max="10260" width="11.28515625" style="179" customWidth="1"/>
    <col min="10261" max="10261" width="11.85546875" style="179" customWidth="1"/>
    <col min="10262" max="10496" width="9.140625" style="179"/>
    <col min="10497" max="10497" width="6.42578125" style="179" customWidth="1"/>
    <col min="10498" max="10498" width="30.7109375" style="179" customWidth="1"/>
    <col min="10499" max="10500" width="11.5703125" style="179" customWidth="1"/>
    <col min="10501" max="10502" width="8.7109375" style="179" customWidth="1"/>
    <col min="10503" max="10506" width="9.85546875" style="179" bestFit="1" customWidth="1"/>
    <col min="10507" max="10508" width="8.7109375" style="179" customWidth="1"/>
    <col min="10509" max="10509" width="10.7109375" style="179" customWidth="1"/>
    <col min="10510" max="10510" width="34.7109375" style="179" customWidth="1"/>
    <col min="10511" max="10512" width="11.28515625" style="179" customWidth="1"/>
    <col min="10513" max="10513" width="11.85546875" style="179" customWidth="1"/>
    <col min="10514" max="10516" width="11.28515625" style="179" customWidth="1"/>
    <col min="10517" max="10517" width="11.85546875" style="179" customWidth="1"/>
    <col min="10518" max="10752" width="9.140625" style="179"/>
    <col min="10753" max="10753" width="6.42578125" style="179" customWidth="1"/>
    <col min="10754" max="10754" width="30.7109375" style="179" customWidth="1"/>
    <col min="10755" max="10756" width="11.5703125" style="179" customWidth="1"/>
    <col min="10757" max="10758" width="8.7109375" style="179" customWidth="1"/>
    <col min="10759" max="10762" width="9.85546875" style="179" bestFit="1" customWidth="1"/>
    <col min="10763" max="10764" width="8.7109375" style="179" customWidth="1"/>
    <col min="10765" max="10765" width="10.7109375" style="179" customWidth="1"/>
    <col min="10766" max="10766" width="34.7109375" style="179" customWidth="1"/>
    <col min="10767" max="10768" width="11.28515625" style="179" customWidth="1"/>
    <col min="10769" max="10769" width="11.85546875" style="179" customWidth="1"/>
    <col min="10770" max="10772" width="11.28515625" style="179" customWidth="1"/>
    <col min="10773" max="10773" width="11.85546875" style="179" customWidth="1"/>
    <col min="10774" max="11008" width="9.140625" style="179"/>
    <col min="11009" max="11009" width="6.42578125" style="179" customWidth="1"/>
    <col min="11010" max="11010" width="30.7109375" style="179" customWidth="1"/>
    <col min="11011" max="11012" width="11.5703125" style="179" customWidth="1"/>
    <col min="11013" max="11014" width="8.7109375" style="179" customWidth="1"/>
    <col min="11015" max="11018" width="9.85546875" style="179" bestFit="1" customWidth="1"/>
    <col min="11019" max="11020" width="8.7109375" style="179" customWidth="1"/>
    <col min="11021" max="11021" width="10.7109375" style="179" customWidth="1"/>
    <col min="11022" max="11022" width="34.7109375" style="179" customWidth="1"/>
    <col min="11023" max="11024" width="11.28515625" style="179" customWidth="1"/>
    <col min="11025" max="11025" width="11.85546875" style="179" customWidth="1"/>
    <col min="11026" max="11028" width="11.28515625" style="179" customWidth="1"/>
    <col min="11029" max="11029" width="11.85546875" style="179" customWidth="1"/>
    <col min="11030" max="11264" width="9.140625" style="179"/>
    <col min="11265" max="11265" width="6.42578125" style="179" customWidth="1"/>
    <col min="11266" max="11266" width="30.7109375" style="179" customWidth="1"/>
    <col min="11267" max="11268" width="11.5703125" style="179" customWidth="1"/>
    <col min="11269" max="11270" width="8.7109375" style="179" customWidth="1"/>
    <col min="11271" max="11274" width="9.85546875" style="179" bestFit="1" customWidth="1"/>
    <col min="11275" max="11276" width="8.7109375" style="179" customWidth="1"/>
    <col min="11277" max="11277" width="10.7109375" style="179" customWidth="1"/>
    <col min="11278" max="11278" width="34.7109375" style="179" customWidth="1"/>
    <col min="11279" max="11280" width="11.28515625" style="179" customWidth="1"/>
    <col min="11281" max="11281" width="11.85546875" style="179" customWidth="1"/>
    <col min="11282" max="11284" width="11.28515625" style="179" customWidth="1"/>
    <col min="11285" max="11285" width="11.85546875" style="179" customWidth="1"/>
    <col min="11286" max="11520" width="9.140625" style="179"/>
    <col min="11521" max="11521" width="6.42578125" style="179" customWidth="1"/>
    <col min="11522" max="11522" width="30.7109375" style="179" customWidth="1"/>
    <col min="11523" max="11524" width="11.5703125" style="179" customWidth="1"/>
    <col min="11525" max="11526" width="8.7109375" style="179" customWidth="1"/>
    <col min="11527" max="11530" width="9.85546875" style="179" bestFit="1" customWidth="1"/>
    <col min="11531" max="11532" width="8.7109375" style="179" customWidth="1"/>
    <col min="11533" max="11533" width="10.7109375" style="179" customWidth="1"/>
    <col min="11534" max="11534" width="34.7109375" style="179" customWidth="1"/>
    <col min="11535" max="11536" width="11.28515625" style="179" customWidth="1"/>
    <col min="11537" max="11537" width="11.85546875" style="179" customWidth="1"/>
    <col min="11538" max="11540" width="11.28515625" style="179" customWidth="1"/>
    <col min="11541" max="11541" width="11.85546875" style="179" customWidth="1"/>
    <col min="11542" max="11776" width="9.140625" style="179"/>
    <col min="11777" max="11777" width="6.42578125" style="179" customWidth="1"/>
    <col min="11778" max="11778" width="30.7109375" style="179" customWidth="1"/>
    <col min="11779" max="11780" width="11.5703125" style="179" customWidth="1"/>
    <col min="11781" max="11782" width="8.7109375" style="179" customWidth="1"/>
    <col min="11783" max="11786" width="9.85546875" style="179" bestFit="1" customWidth="1"/>
    <col min="11787" max="11788" width="8.7109375" style="179" customWidth="1"/>
    <col min="11789" max="11789" width="10.7109375" style="179" customWidth="1"/>
    <col min="11790" max="11790" width="34.7109375" style="179" customWidth="1"/>
    <col min="11791" max="11792" width="11.28515625" style="179" customWidth="1"/>
    <col min="11793" max="11793" width="11.85546875" style="179" customWidth="1"/>
    <col min="11794" max="11796" width="11.28515625" style="179" customWidth="1"/>
    <col min="11797" max="11797" width="11.85546875" style="179" customWidth="1"/>
    <col min="11798" max="12032" width="9.140625" style="179"/>
    <col min="12033" max="12033" width="6.42578125" style="179" customWidth="1"/>
    <col min="12034" max="12034" width="30.7109375" style="179" customWidth="1"/>
    <col min="12035" max="12036" width="11.5703125" style="179" customWidth="1"/>
    <col min="12037" max="12038" width="8.7109375" style="179" customWidth="1"/>
    <col min="12039" max="12042" width="9.85546875" style="179" bestFit="1" customWidth="1"/>
    <col min="12043" max="12044" width="8.7109375" style="179" customWidth="1"/>
    <col min="12045" max="12045" width="10.7109375" style="179" customWidth="1"/>
    <col min="12046" max="12046" width="34.7109375" style="179" customWidth="1"/>
    <col min="12047" max="12048" width="11.28515625" style="179" customWidth="1"/>
    <col min="12049" max="12049" width="11.85546875" style="179" customWidth="1"/>
    <col min="12050" max="12052" width="11.28515625" style="179" customWidth="1"/>
    <col min="12053" max="12053" width="11.85546875" style="179" customWidth="1"/>
    <col min="12054" max="12288" width="9.140625" style="179"/>
    <col min="12289" max="12289" width="6.42578125" style="179" customWidth="1"/>
    <col min="12290" max="12290" width="30.7109375" style="179" customWidth="1"/>
    <col min="12291" max="12292" width="11.5703125" style="179" customWidth="1"/>
    <col min="12293" max="12294" width="8.7109375" style="179" customWidth="1"/>
    <col min="12295" max="12298" width="9.85546875" style="179" bestFit="1" customWidth="1"/>
    <col min="12299" max="12300" width="8.7109375" style="179" customWidth="1"/>
    <col min="12301" max="12301" width="10.7109375" style="179" customWidth="1"/>
    <col min="12302" max="12302" width="34.7109375" style="179" customWidth="1"/>
    <col min="12303" max="12304" width="11.28515625" style="179" customWidth="1"/>
    <col min="12305" max="12305" width="11.85546875" style="179" customWidth="1"/>
    <col min="12306" max="12308" width="11.28515625" style="179" customWidth="1"/>
    <col min="12309" max="12309" width="11.85546875" style="179" customWidth="1"/>
    <col min="12310" max="12544" width="9.140625" style="179"/>
    <col min="12545" max="12545" width="6.42578125" style="179" customWidth="1"/>
    <col min="12546" max="12546" width="30.7109375" style="179" customWidth="1"/>
    <col min="12547" max="12548" width="11.5703125" style="179" customWidth="1"/>
    <col min="12549" max="12550" width="8.7109375" style="179" customWidth="1"/>
    <col min="12551" max="12554" width="9.85546875" style="179" bestFit="1" customWidth="1"/>
    <col min="12555" max="12556" width="8.7109375" style="179" customWidth="1"/>
    <col min="12557" max="12557" width="10.7109375" style="179" customWidth="1"/>
    <col min="12558" max="12558" width="34.7109375" style="179" customWidth="1"/>
    <col min="12559" max="12560" width="11.28515625" style="179" customWidth="1"/>
    <col min="12561" max="12561" width="11.85546875" style="179" customWidth="1"/>
    <col min="12562" max="12564" width="11.28515625" style="179" customWidth="1"/>
    <col min="12565" max="12565" width="11.85546875" style="179" customWidth="1"/>
    <col min="12566" max="12800" width="9.140625" style="179"/>
    <col min="12801" max="12801" width="6.42578125" style="179" customWidth="1"/>
    <col min="12802" max="12802" width="30.7109375" style="179" customWidth="1"/>
    <col min="12803" max="12804" width="11.5703125" style="179" customWidth="1"/>
    <col min="12805" max="12806" width="8.7109375" style="179" customWidth="1"/>
    <col min="12807" max="12810" width="9.85546875" style="179" bestFit="1" customWidth="1"/>
    <col min="12811" max="12812" width="8.7109375" style="179" customWidth="1"/>
    <col min="12813" max="12813" width="10.7109375" style="179" customWidth="1"/>
    <col min="12814" max="12814" width="34.7109375" style="179" customWidth="1"/>
    <col min="12815" max="12816" width="11.28515625" style="179" customWidth="1"/>
    <col min="12817" max="12817" width="11.85546875" style="179" customWidth="1"/>
    <col min="12818" max="12820" width="11.28515625" style="179" customWidth="1"/>
    <col min="12821" max="12821" width="11.85546875" style="179" customWidth="1"/>
    <col min="12822" max="13056" width="9.140625" style="179"/>
    <col min="13057" max="13057" width="6.42578125" style="179" customWidth="1"/>
    <col min="13058" max="13058" width="30.7109375" style="179" customWidth="1"/>
    <col min="13059" max="13060" width="11.5703125" style="179" customWidth="1"/>
    <col min="13061" max="13062" width="8.7109375" style="179" customWidth="1"/>
    <col min="13063" max="13066" width="9.85546875" style="179" bestFit="1" customWidth="1"/>
    <col min="13067" max="13068" width="8.7109375" style="179" customWidth="1"/>
    <col min="13069" max="13069" width="10.7109375" style="179" customWidth="1"/>
    <col min="13070" max="13070" width="34.7109375" style="179" customWidth="1"/>
    <col min="13071" max="13072" width="11.28515625" style="179" customWidth="1"/>
    <col min="13073" max="13073" width="11.85546875" style="179" customWidth="1"/>
    <col min="13074" max="13076" width="11.28515625" style="179" customWidth="1"/>
    <col min="13077" max="13077" width="11.85546875" style="179" customWidth="1"/>
    <col min="13078" max="13312" width="9.140625" style="179"/>
    <col min="13313" max="13313" width="6.42578125" style="179" customWidth="1"/>
    <col min="13314" max="13314" width="30.7109375" style="179" customWidth="1"/>
    <col min="13315" max="13316" width="11.5703125" style="179" customWidth="1"/>
    <col min="13317" max="13318" width="8.7109375" style="179" customWidth="1"/>
    <col min="13319" max="13322" width="9.85546875" style="179" bestFit="1" customWidth="1"/>
    <col min="13323" max="13324" width="8.7109375" style="179" customWidth="1"/>
    <col min="13325" max="13325" width="10.7109375" style="179" customWidth="1"/>
    <col min="13326" max="13326" width="34.7109375" style="179" customWidth="1"/>
    <col min="13327" max="13328" width="11.28515625" style="179" customWidth="1"/>
    <col min="13329" max="13329" width="11.85546875" style="179" customWidth="1"/>
    <col min="13330" max="13332" width="11.28515625" style="179" customWidth="1"/>
    <col min="13333" max="13333" width="11.85546875" style="179" customWidth="1"/>
    <col min="13334" max="13568" width="9.140625" style="179"/>
    <col min="13569" max="13569" width="6.42578125" style="179" customWidth="1"/>
    <col min="13570" max="13570" width="30.7109375" style="179" customWidth="1"/>
    <col min="13571" max="13572" width="11.5703125" style="179" customWidth="1"/>
    <col min="13573" max="13574" width="8.7109375" style="179" customWidth="1"/>
    <col min="13575" max="13578" width="9.85546875" style="179" bestFit="1" customWidth="1"/>
    <col min="13579" max="13580" width="8.7109375" style="179" customWidth="1"/>
    <col min="13581" max="13581" width="10.7109375" style="179" customWidth="1"/>
    <col min="13582" max="13582" width="34.7109375" style="179" customWidth="1"/>
    <col min="13583" max="13584" width="11.28515625" style="179" customWidth="1"/>
    <col min="13585" max="13585" width="11.85546875" style="179" customWidth="1"/>
    <col min="13586" max="13588" width="11.28515625" style="179" customWidth="1"/>
    <col min="13589" max="13589" width="11.85546875" style="179" customWidth="1"/>
    <col min="13590" max="13824" width="9.140625" style="179"/>
    <col min="13825" max="13825" width="6.42578125" style="179" customWidth="1"/>
    <col min="13826" max="13826" width="30.7109375" style="179" customWidth="1"/>
    <col min="13827" max="13828" width="11.5703125" style="179" customWidth="1"/>
    <col min="13829" max="13830" width="8.7109375" style="179" customWidth="1"/>
    <col min="13831" max="13834" width="9.85546875" style="179" bestFit="1" customWidth="1"/>
    <col min="13835" max="13836" width="8.7109375" style="179" customWidth="1"/>
    <col min="13837" max="13837" width="10.7109375" style="179" customWidth="1"/>
    <col min="13838" max="13838" width="34.7109375" style="179" customWidth="1"/>
    <col min="13839" max="13840" width="11.28515625" style="179" customWidth="1"/>
    <col min="13841" max="13841" width="11.85546875" style="179" customWidth="1"/>
    <col min="13842" max="13844" width="11.28515625" style="179" customWidth="1"/>
    <col min="13845" max="13845" width="11.85546875" style="179" customWidth="1"/>
    <col min="13846" max="14080" width="9.140625" style="179"/>
    <col min="14081" max="14081" width="6.42578125" style="179" customWidth="1"/>
    <col min="14082" max="14082" width="30.7109375" style="179" customWidth="1"/>
    <col min="14083" max="14084" width="11.5703125" style="179" customWidth="1"/>
    <col min="14085" max="14086" width="8.7109375" style="179" customWidth="1"/>
    <col min="14087" max="14090" width="9.85546875" style="179" bestFit="1" customWidth="1"/>
    <col min="14091" max="14092" width="8.7109375" style="179" customWidth="1"/>
    <col min="14093" max="14093" width="10.7109375" style="179" customWidth="1"/>
    <col min="14094" max="14094" width="34.7109375" style="179" customWidth="1"/>
    <col min="14095" max="14096" width="11.28515625" style="179" customWidth="1"/>
    <col min="14097" max="14097" width="11.85546875" style="179" customWidth="1"/>
    <col min="14098" max="14100" width="11.28515625" style="179" customWidth="1"/>
    <col min="14101" max="14101" width="11.85546875" style="179" customWidth="1"/>
    <col min="14102" max="14336" width="9.140625" style="179"/>
    <col min="14337" max="14337" width="6.42578125" style="179" customWidth="1"/>
    <col min="14338" max="14338" width="30.7109375" style="179" customWidth="1"/>
    <col min="14339" max="14340" width="11.5703125" style="179" customWidth="1"/>
    <col min="14341" max="14342" width="8.7109375" style="179" customWidth="1"/>
    <col min="14343" max="14346" width="9.85546875" style="179" bestFit="1" customWidth="1"/>
    <col min="14347" max="14348" width="8.7109375" style="179" customWidth="1"/>
    <col min="14349" max="14349" width="10.7109375" style="179" customWidth="1"/>
    <col min="14350" max="14350" width="34.7109375" style="179" customWidth="1"/>
    <col min="14351" max="14352" width="11.28515625" style="179" customWidth="1"/>
    <col min="14353" max="14353" width="11.85546875" style="179" customWidth="1"/>
    <col min="14354" max="14356" width="11.28515625" style="179" customWidth="1"/>
    <col min="14357" max="14357" width="11.85546875" style="179" customWidth="1"/>
    <col min="14358" max="14592" width="9.140625" style="179"/>
    <col min="14593" max="14593" width="6.42578125" style="179" customWidth="1"/>
    <col min="14594" max="14594" width="30.7109375" style="179" customWidth="1"/>
    <col min="14595" max="14596" width="11.5703125" style="179" customWidth="1"/>
    <col min="14597" max="14598" width="8.7109375" style="179" customWidth="1"/>
    <col min="14599" max="14602" width="9.85546875" style="179" bestFit="1" customWidth="1"/>
    <col min="14603" max="14604" width="8.7109375" style="179" customWidth="1"/>
    <col min="14605" max="14605" width="10.7109375" style="179" customWidth="1"/>
    <col min="14606" max="14606" width="34.7109375" style="179" customWidth="1"/>
    <col min="14607" max="14608" width="11.28515625" style="179" customWidth="1"/>
    <col min="14609" max="14609" width="11.85546875" style="179" customWidth="1"/>
    <col min="14610" max="14612" width="11.28515625" style="179" customWidth="1"/>
    <col min="14613" max="14613" width="11.85546875" style="179" customWidth="1"/>
    <col min="14614" max="14848" width="9.140625" style="179"/>
    <col min="14849" max="14849" width="6.42578125" style="179" customWidth="1"/>
    <col min="14850" max="14850" width="30.7109375" style="179" customWidth="1"/>
    <col min="14851" max="14852" width="11.5703125" style="179" customWidth="1"/>
    <col min="14853" max="14854" width="8.7109375" style="179" customWidth="1"/>
    <col min="14855" max="14858" width="9.85546875" style="179" bestFit="1" customWidth="1"/>
    <col min="14859" max="14860" width="8.7109375" style="179" customWidth="1"/>
    <col min="14861" max="14861" width="10.7109375" style="179" customWidth="1"/>
    <col min="14862" max="14862" width="34.7109375" style="179" customWidth="1"/>
    <col min="14863" max="14864" width="11.28515625" style="179" customWidth="1"/>
    <col min="14865" max="14865" width="11.85546875" style="179" customWidth="1"/>
    <col min="14866" max="14868" width="11.28515625" style="179" customWidth="1"/>
    <col min="14869" max="14869" width="11.85546875" style="179" customWidth="1"/>
    <col min="14870" max="15104" width="9.140625" style="179"/>
    <col min="15105" max="15105" width="6.42578125" style="179" customWidth="1"/>
    <col min="15106" max="15106" width="30.7109375" style="179" customWidth="1"/>
    <col min="15107" max="15108" width="11.5703125" style="179" customWidth="1"/>
    <col min="15109" max="15110" width="8.7109375" style="179" customWidth="1"/>
    <col min="15111" max="15114" width="9.85546875" style="179" bestFit="1" customWidth="1"/>
    <col min="15115" max="15116" width="8.7109375" style="179" customWidth="1"/>
    <col min="15117" max="15117" width="10.7109375" style="179" customWidth="1"/>
    <col min="15118" max="15118" width="34.7109375" style="179" customWidth="1"/>
    <col min="15119" max="15120" width="11.28515625" style="179" customWidth="1"/>
    <col min="15121" max="15121" width="11.85546875" style="179" customWidth="1"/>
    <col min="15122" max="15124" width="11.28515625" style="179" customWidth="1"/>
    <col min="15125" max="15125" width="11.85546875" style="179" customWidth="1"/>
    <col min="15126" max="15360" width="9.140625" style="179"/>
    <col min="15361" max="15361" width="6.42578125" style="179" customWidth="1"/>
    <col min="15362" max="15362" width="30.7109375" style="179" customWidth="1"/>
    <col min="15363" max="15364" width="11.5703125" style="179" customWidth="1"/>
    <col min="15365" max="15366" width="8.7109375" style="179" customWidth="1"/>
    <col min="15367" max="15370" width="9.85546875" style="179" bestFit="1" customWidth="1"/>
    <col min="15371" max="15372" width="8.7109375" style="179" customWidth="1"/>
    <col min="15373" max="15373" width="10.7109375" style="179" customWidth="1"/>
    <col min="15374" max="15374" width="34.7109375" style="179" customWidth="1"/>
    <col min="15375" max="15376" width="11.28515625" style="179" customWidth="1"/>
    <col min="15377" max="15377" width="11.85546875" style="179" customWidth="1"/>
    <col min="15378" max="15380" width="11.28515625" style="179" customWidth="1"/>
    <col min="15381" max="15381" width="11.85546875" style="179" customWidth="1"/>
    <col min="15382" max="15616" width="9.140625" style="179"/>
    <col min="15617" max="15617" width="6.42578125" style="179" customWidth="1"/>
    <col min="15618" max="15618" width="30.7109375" style="179" customWidth="1"/>
    <col min="15619" max="15620" width="11.5703125" style="179" customWidth="1"/>
    <col min="15621" max="15622" width="8.7109375" style="179" customWidth="1"/>
    <col min="15623" max="15626" width="9.85546875" style="179" bestFit="1" customWidth="1"/>
    <col min="15627" max="15628" width="8.7109375" style="179" customWidth="1"/>
    <col min="15629" max="15629" width="10.7109375" style="179" customWidth="1"/>
    <col min="15630" max="15630" width="34.7109375" style="179" customWidth="1"/>
    <col min="15631" max="15632" width="11.28515625" style="179" customWidth="1"/>
    <col min="15633" max="15633" width="11.85546875" style="179" customWidth="1"/>
    <col min="15634" max="15636" width="11.28515625" style="179" customWidth="1"/>
    <col min="15637" max="15637" width="11.85546875" style="179" customWidth="1"/>
    <col min="15638" max="15872" width="9.140625" style="179"/>
    <col min="15873" max="15873" width="6.42578125" style="179" customWidth="1"/>
    <col min="15874" max="15874" width="30.7109375" style="179" customWidth="1"/>
    <col min="15875" max="15876" width="11.5703125" style="179" customWidth="1"/>
    <col min="15877" max="15878" width="8.7109375" style="179" customWidth="1"/>
    <col min="15879" max="15882" width="9.85546875" style="179" bestFit="1" customWidth="1"/>
    <col min="15883" max="15884" width="8.7109375" style="179" customWidth="1"/>
    <col min="15885" max="15885" width="10.7109375" style="179" customWidth="1"/>
    <col min="15886" max="15886" width="34.7109375" style="179" customWidth="1"/>
    <col min="15887" max="15888" width="11.28515625" style="179" customWidth="1"/>
    <col min="15889" max="15889" width="11.85546875" style="179" customWidth="1"/>
    <col min="15890" max="15892" width="11.28515625" style="179" customWidth="1"/>
    <col min="15893" max="15893" width="11.85546875" style="179" customWidth="1"/>
    <col min="15894" max="16128" width="9.140625" style="179"/>
    <col min="16129" max="16129" width="6.42578125" style="179" customWidth="1"/>
    <col min="16130" max="16130" width="30.7109375" style="179" customWidth="1"/>
    <col min="16131" max="16132" width="11.5703125" style="179" customWidth="1"/>
    <col min="16133" max="16134" width="8.7109375" style="179" customWidth="1"/>
    <col min="16135" max="16138" width="9.85546875" style="179" bestFit="1" customWidth="1"/>
    <col min="16139" max="16140" width="8.7109375" style="179" customWidth="1"/>
    <col min="16141" max="16141" width="10.7109375" style="179" customWidth="1"/>
    <col min="16142" max="16142" width="34.7109375" style="179" customWidth="1"/>
    <col min="16143" max="16144" width="11.28515625" style="179" customWidth="1"/>
    <col min="16145" max="16145" width="11.85546875" style="179" customWidth="1"/>
    <col min="16146" max="16148" width="11.28515625" style="179" customWidth="1"/>
    <col min="16149" max="16149" width="11.85546875" style="179" customWidth="1"/>
    <col min="16150" max="16384" width="9.140625" style="179"/>
  </cols>
  <sheetData>
    <row r="1" spans="1:21" ht="15" x14ac:dyDescent="0.25">
      <c r="A1" s="20"/>
      <c r="B1" s="20"/>
      <c r="C1" s="20"/>
      <c r="D1" s="20"/>
      <c r="E1" s="20"/>
      <c r="F1" s="20"/>
      <c r="G1" s="20"/>
      <c r="H1" s="20"/>
      <c r="I1" s="20"/>
      <c r="J1" s="20"/>
      <c r="K1" s="20"/>
      <c r="L1" s="20"/>
      <c r="M1" s="13" t="s">
        <v>948</v>
      </c>
    </row>
    <row r="2" spans="1:21" ht="12.75" customHeight="1" x14ac:dyDescent="0.2">
      <c r="A2" s="182"/>
      <c r="B2" s="183"/>
      <c r="C2" s="182"/>
      <c r="D2" s="182"/>
      <c r="E2" s="182"/>
      <c r="F2" s="182"/>
      <c r="G2" s="182"/>
      <c r="H2" s="182"/>
      <c r="I2" s="182"/>
      <c r="J2" s="182"/>
      <c r="K2" s="182"/>
      <c r="L2" s="182"/>
      <c r="M2" s="182"/>
    </row>
    <row r="3" spans="1:21" ht="12.75" customHeight="1" x14ac:dyDescent="0.2">
      <c r="A3" s="637" t="s">
        <v>205</v>
      </c>
      <c r="B3" s="637"/>
      <c r="C3" s="637"/>
      <c r="D3" s="637"/>
      <c r="E3" s="637"/>
      <c r="F3" s="637"/>
      <c r="G3" s="637"/>
      <c r="H3" s="637"/>
      <c r="I3" s="637"/>
      <c r="J3" s="637"/>
      <c r="K3" s="637"/>
      <c r="L3" s="637"/>
      <c r="M3" s="637"/>
    </row>
    <row r="4" spans="1:21" ht="12.75" customHeight="1" x14ac:dyDescent="0.2">
      <c r="A4" s="637" t="s">
        <v>947</v>
      </c>
      <c r="B4" s="647"/>
      <c r="C4" s="647"/>
      <c r="D4" s="647"/>
      <c r="E4" s="647"/>
      <c r="F4" s="647"/>
      <c r="G4" s="647"/>
      <c r="H4" s="647"/>
      <c r="I4" s="647"/>
      <c r="J4" s="647"/>
      <c r="K4" s="647"/>
      <c r="L4" s="647"/>
      <c r="M4" s="647"/>
      <c r="U4" s="184"/>
    </row>
    <row r="5" spans="1:21" ht="12.75" customHeight="1" x14ac:dyDescent="0.2">
      <c r="A5" s="185"/>
      <c r="K5" s="181"/>
      <c r="N5" s="180"/>
      <c r="T5" s="179"/>
    </row>
    <row r="6" spans="1:21" ht="12.75" customHeight="1" x14ac:dyDescent="0.2">
      <c r="A6" s="637" t="s">
        <v>206</v>
      </c>
      <c r="B6" s="637"/>
      <c r="C6" s="637"/>
      <c r="D6" s="637"/>
      <c r="E6" s="637"/>
      <c r="F6" s="637"/>
      <c r="G6" s="637"/>
      <c r="H6" s="637"/>
      <c r="I6" s="637"/>
      <c r="J6" s="637"/>
      <c r="K6" s="637"/>
      <c r="L6" s="637"/>
      <c r="M6" s="637"/>
    </row>
    <row r="7" spans="1:21" ht="12.75" customHeight="1" x14ac:dyDescent="0.2">
      <c r="A7" s="182"/>
      <c r="B7" s="182"/>
      <c r="C7" s="182"/>
      <c r="D7" s="182"/>
      <c r="E7" s="182"/>
      <c r="F7" s="182"/>
      <c r="G7" s="182"/>
      <c r="H7" s="182"/>
      <c r="I7" s="182"/>
      <c r="J7" s="182"/>
      <c r="K7" s="182"/>
      <c r="L7" s="182"/>
      <c r="M7" s="187" t="s">
        <v>207</v>
      </c>
    </row>
    <row r="8" spans="1:21" ht="12.75" customHeight="1" x14ac:dyDescent="0.2">
      <c r="A8" s="645" t="s">
        <v>208</v>
      </c>
      <c r="B8" s="646" t="s">
        <v>209</v>
      </c>
      <c r="C8" s="646" t="s">
        <v>227</v>
      </c>
      <c r="D8" s="646" t="s">
        <v>210</v>
      </c>
      <c r="E8" s="642" t="s">
        <v>211</v>
      </c>
      <c r="F8" s="642"/>
      <c r="G8" s="642"/>
      <c r="H8" s="642"/>
      <c r="I8" s="642"/>
      <c r="J8" s="642"/>
      <c r="K8" s="642"/>
      <c r="L8" s="642"/>
      <c r="M8" s="189"/>
    </row>
    <row r="9" spans="1:21" ht="35.25" customHeight="1" x14ac:dyDescent="0.2">
      <c r="A9" s="645"/>
      <c r="B9" s="646"/>
      <c r="C9" s="646"/>
      <c r="D9" s="646"/>
      <c r="E9" s="188" t="s">
        <v>212</v>
      </c>
      <c r="F9" s="188" t="s">
        <v>213</v>
      </c>
      <c r="G9" s="190" t="s">
        <v>214</v>
      </c>
      <c r="H9" s="188" t="s">
        <v>215</v>
      </c>
      <c r="I9" s="190" t="s">
        <v>216</v>
      </c>
      <c r="J9" s="190" t="s">
        <v>217</v>
      </c>
      <c r="K9" s="188" t="s">
        <v>218</v>
      </c>
      <c r="L9" s="188" t="s">
        <v>228</v>
      </c>
      <c r="M9" s="191" t="s">
        <v>219</v>
      </c>
      <c r="O9" s="179"/>
      <c r="P9" s="179"/>
      <c r="Q9" s="179"/>
      <c r="R9" s="179"/>
      <c r="S9" s="179"/>
      <c r="T9" s="179"/>
    </row>
    <row r="10" spans="1:21" x14ac:dyDescent="0.2">
      <c r="A10" s="192" t="s">
        <v>220</v>
      </c>
      <c r="B10" s="193"/>
      <c r="C10" s="194"/>
      <c r="D10" s="194"/>
      <c r="E10" s="194"/>
      <c r="F10" s="194"/>
      <c r="G10" s="195"/>
      <c r="H10" s="195"/>
      <c r="I10" s="195"/>
      <c r="J10" s="195"/>
      <c r="K10" s="196"/>
      <c r="L10" s="195"/>
      <c r="M10" s="194">
        <f>SUM(E10:L10)</f>
        <v>0</v>
      </c>
      <c r="O10" s="179"/>
      <c r="P10" s="179"/>
      <c r="Q10" s="179"/>
      <c r="R10" s="179"/>
      <c r="S10" s="179"/>
      <c r="T10" s="179"/>
    </row>
    <row r="11" spans="1:21" x14ac:dyDescent="0.2">
      <c r="A11" s="197" t="s">
        <v>221</v>
      </c>
      <c r="B11" s="198"/>
      <c r="C11" s="199"/>
      <c r="D11" s="199"/>
      <c r="E11" s="199"/>
      <c r="F11" s="199"/>
      <c r="G11" s="200"/>
      <c r="H11" s="200"/>
      <c r="I11" s="200"/>
      <c r="J11" s="200"/>
      <c r="K11" s="201"/>
      <c r="L11" s="200"/>
      <c r="M11" s="199">
        <f>SUM(E11:L11)</f>
        <v>0</v>
      </c>
      <c r="O11" s="179"/>
      <c r="P11" s="179"/>
      <c r="Q11" s="179"/>
      <c r="R11" s="179"/>
      <c r="S11" s="179"/>
      <c r="T11" s="179"/>
    </row>
    <row r="12" spans="1:21" x14ac:dyDescent="0.2">
      <c r="A12" s="197" t="s">
        <v>222</v>
      </c>
      <c r="B12" s="198"/>
      <c r="C12" s="199"/>
      <c r="D12" s="199"/>
      <c r="E12" s="199"/>
      <c r="F12" s="199"/>
      <c r="G12" s="200"/>
      <c r="H12" s="200"/>
      <c r="I12" s="200"/>
      <c r="J12" s="200"/>
      <c r="K12" s="201"/>
      <c r="L12" s="200"/>
      <c r="M12" s="199">
        <f>SUM(E12:L12)</f>
        <v>0</v>
      </c>
      <c r="O12" s="179"/>
      <c r="P12" s="179"/>
      <c r="Q12" s="179"/>
      <c r="R12" s="179"/>
      <c r="S12" s="179"/>
      <c r="T12" s="179"/>
    </row>
    <row r="13" spans="1:21" x14ac:dyDescent="0.2">
      <c r="A13" s="200"/>
      <c r="B13" s="202" t="s">
        <v>22</v>
      </c>
      <c r="C13" s="201">
        <f>SUM(C10:C12)</f>
        <v>0</v>
      </c>
      <c r="D13" s="201"/>
      <c r="E13" s="201">
        <f t="shared" ref="E13:M13" si="0">SUM(E10:E12)</f>
        <v>0</v>
      </c>
      <c r="F13" s="201">
        <f t="shared" si="0"/>
        <v>0</v>
      </c>
      <c r="G13" s="201">
        <f t="shared" si="0"/>
        <v>0</v>
      </c>
      <c r="H13" s="201">
        <f t="shared" si="0"/>
        <v>0</v>
      </c>
      <c r="I13" s="201">
        <f t="shared" si="0"/>
        <v>0</v>
      </c>
      <c r="J13" s="201">
        <f t="shared" si="0"/>
        <v>0</v>
      </c>
      <c r="K13" s="201">
        <f t="shared" si="0"/>
        <v>0</v>
      </c>
      <c r="L13" s="201">
        <f t="shared" si="0"/>
        <v>0</v>
      </c>
      <c r="M13" s="201">
        <f t="shared" si="0"/>
        <v>0</v>
      </c>
      <c r="O13" s="179"/>
      <c r="P13" s="179"/>
      <c r="Q13" s="179"/>
      <c r="R13" s="179"/>
      <c r="S13" s="179"/>
      <c r="T13" s="179"/>
    </row>
    <row r="14" spans="1:21" x14ac:dyDescent="0.2">
      <c r="B14" s="203"/>
      <c r="C14" s="204"/>
      <c r="D14" s="204"/>
      <c r="E14" s="204"/>
      <c r="F14" s="204"/>
      <c r="G14" s="204"/>
      <c r="H14" s="204"/>
      <c r="I14" s="204"/>
      <c r="J14" s="204"/>
      <c r="K14" s="204"/>
      <c r="L14" s="204"/>
      <c r="M14" s="204"/>
      <c r="O14" s="179"/>
      <c r="P14" s="179"/>
      <c r="Q14" s="179"/>
      <c r="R14" s="179"/>
      <c r="S14" s="179"/>
      <c r="T14" s="179"/>
    </row>
    <row r="15" spans="1:21" ht="12.75" customHeight="1" x14ac:dyDescent="0.2">
      <c r="A15" s="637" t="s">
        <v>223</v>
      </c>
      <c r="B15" s="637"/>
      <c r="C15" s="637"/>
      <c r="D15" s="637"/>
      <c r="E15" s="637"/>
      <c r="F15" s="637"/>
      <c r="G15" s="637"/>
      <c r="H15" s="637"/>
      <c r="I15" s="637"/>
      <c r="J15" s="637"/>
      <c r="K15" s="637"/>
      <c r="L15" s="637"/>
      <c r="M15" s="637"/>
    </row>
    <row r="16" spans="1:21" ht="12.75" customHeight="1" x14ac:dyDescent="0.2">
      <c r="L16" s="181"/>
      <c r="M16" s="187" t="s">
        <v>207</v>
      </c>
    </row>
    <row r="17" spans="1:20" ht="12.75" customHeight="1" x14ac:dyDescent="0.2">
      <c r="A17" s="638" t="s">
        <v>208</v>
      </c>
      <c r="B17" s="640" t="s">
        <v>209</v>
      </c>
      <c r="C17" s="640" t="s">
        <v>227</v>
      </c>
      <c r="D17" s="640" t="s">
        <v>210</v>
      </c>
      <c r="E17" s="642" t="s">
        <v>211</v>
      </c>
      <c r="F17" s="642"/>
      <c r="G17" s="642"/>
      <c r="H17" s="642"/>
      <c r="I17" s="642"/>
      <c r="J17" s="642"/>
      <c r="K17" s="642"/>
      <c r="L17" s="642"/>
      <c r="M17" s="643" t="s">
        <v>224</v>
      </c>
    </row>
    <row r="18" spans="1:20" ht="35.25" customHeight="1" x14ac:dyDescent="0.2">
      <c r="A18" s="639"/>
      <c r="B18" s="641"/>
      <c r="C18" s="641"/>
      <c r="D18" s="641"/>
      <c r="E18" s="188" t="s">
        <v>212</v>
      </c>
      <c r="F18" s="188" t="s">
        <v>213</v>
      </c>
      <c r="G18" s="190" t="s">
        <v>214</v>
      </c>
      <c r="H18" s="188" t="s">
        <v>215</v>
      </c>
      <c r="I18" s="190" t="s">
        <v>216</v>
      </c>
      <c r="J18" s="190" t="s">
        <v>217</v>
      </c>
      <c r="K18" s="188" t="s">
        <v>218</v>
      </c>
      <c r="L18" s="188" t="s">
        <v>228</v>
      </c>
      <c r="M18" s="644"/>
      <c r="O18" s="179"/>
      <c r="P18" s="179"/>
      <c r="Q18" s="179"/>
      <c r="R18" s="179"/>
      <c r="S18" s="179"/>
      <c r="T18" s="179"/>
    </row>
    <row r="19" spans="1:20" ht="25.5" x14ac:dyDescent="0.2">
      <c r="A19" s="197" t="s">
        <v>220</v>
      </c>
      <c r="B19" s="198" t="s">
        <v>225</v>
      </c>
      <c r="C19" s="199">
        <v>158333336</v>
      </c>
      <c r="D19" s="199">
        <v>0</v>
      </c>
      <c r="E19" s="199">
        <v>26388888</v>
      </c>
      <c r="F19" s="199">
        <v>26388888</v>
      </c>
      <c r="G19" s="199">
        <v>26388888</v>
      </c>
      <c r="H19" s="199">
        <v>26388888</v>
      </c>
      <c r="I19" s="199">
        <v>26388888</v>
      </c>
      <c r="J19" s="199">
        <v>26388896</v>
      </c>
      <c r="K19" s="199"/>
      <c r="L19" s="199">
        <v>0</v>
      </c>
      <c r="M19" s="205">
        <f t="shared" ref="M19:M22" si="1">SUM(E19:L19)</f>
        <v>158333336</v>
      </c>
      <c r="O19" s="179"/>
      <c r="P19" s="179"/>
      <c r="Q19" s="179"/>
      <c r="R19" s="179"/>
      <c r="S19" s="179"/>
      <c r="T19" s="179"/>
    </row>
    <row r="20" spans="1:20" ht="12.75" customHeight="1" x14ac:dyDescent="0.2">
      <c r="A20" s="197" t="s">
        <v>221</v>
      </c>
      <c r="B20" s="198"/>
      <c r="C20" s="199"/>
      <c r="D20" s="199"/>
      <c r="E20" s="199"/>
      <c r="F20" s="206"/>
      <c r="G20" s="206"/>
      <c r="H20" s="199"/>
      <c r="I20" s="199"/>
      <c r="J20" s="199"/>
      <c r="K20" s="199"/>
      <c r="L20" s="199"/>
      <c r="M20" s="205">
        <f t="shared" si="1"/>
        <v>0</v>
      </c>
      <c r="O20" s="179"/>
      <c r="P20" s="179"/>
      <c r="Q20" s="179"/>
      <c r="R20" s="179"/>
      <c r="S20" s="179"/>
      <c r="T20" s="179"/>
    </row>
    <row r="21" spans="1:20" ht="12.75" customHeight="1" x14ac:dyDescent="0.2">
      <c r="A21" s="197" t="s">
        <v>222</v>
      </c>
      <c r="B21" s="198"/>
      <c r="C21" s="199"/>
      <c r="D21" s="199"/>
      <c r="E21" s="199"/>
      <c r="F21" s="206"/>
      <c r="G21" s="206"/>
      <c r="H21" s="199"/>
      <c r="I21" s="199"/>
      <c r="J21" s="199"/>
      <c r="K21" s="199"/>
      <c r="L21" s="199"/>
      <c r="M21" s="205">
        <f t="shared" si="1"/>
        <v>0</v>
      </c>
      <c r="O21" s="179"/>
      <c r="P21" s="179"/>
      <c r="Q21" s="179"/>
      <c r="R21" s="179"/>
      <c r="S21" s="179"/>
      <c r="T21" s="179"/>
    </row>
    <row r="22" spans="1:20" ht="12.75" customHeight="1" x14ac:dyDescent="0.2">
      <c r="A22" s="197" t="s">
        <v>226</v>
      </c>
      <c r="B22" s="198"/>
      <c r="C22" s="199"/>
      <c r="D22" s="199"/>
      <c r="E22" s="199"/>
      <c r="F22" s="206"/>
      <c r="G22" s="206"/>
      <c r="H22" s="199"/>
      <c r="I22" s="199"/>
      <c r="J22" s="199"/>
      <c r="K22" s="199"/>
      <c r="L22" s="199"/>
      <c r="M22" s="205">
        <f t="shared" si="1"/>
        <v>0</v>
      </c>
      <c r="O22" s="179"/>
      <c r="P22" s="179"/>
      <c r="Q22" s="179"/>
      <c r="R22" s="179"/>
      <c r="S22" s="179"/>
      <c r="T22" s="179"/>
    </row>
    <row r="23" spans="1:20" ht="12.75" customHeight="1" x14ac:dyDescent="0.2">
      <c r="A23" s="197"/>
      <c r="B23" s="202" t="s">
        <v>22</v>
      </c>
      <c r="C23" s="205">
        <f t="shared" ref="C23:M23" si="2">SUM(C19:C22)</f>
        <v>158333336</v>
      </c>
      <c r="D23" s="205">
        <f t="shared" si="2"/>
        <v>0</v>
      </c>
      <c r="E23" s="205">
        <f t="shared" si="2"/>
        <v>26388888</v>
      </c>
      <c r="F23" s="205">
        <f t="shared" si="2"/>
        <v>26388888</v>
      </c>
      <c r="G23" s="205">
        <f t="shared" si="2"/>
        <v>26388888</v>
      </c>
      <c r="H23" s="205">
        <f t="shared" si="2"/>
        <v>26388888</v>
      </c>
      <c r="I23" s="205">
        <f t="shared" si="2"/>
        <v>26388888</v>
      </c>
      <c r="J23" s="205">
        <f t="shared" si="2"/>
        <v>26388896</v>
      </c>
      <c r="K23" s="205">
        <f t="shared" si="2"/>
        <v>0</v>
      </c>
      <c r="L23" s="205">
        <f t="shared" si="2"/>
        <v>0</v>
      </c>
      <c r="M23" s="205">
        <f t="shared" si="2"/>
        <v>158333336</v>
      </c>
      <c r="O23" s="179"/>
      <c r="P23" s="179"/>
      <c r="Q23" s="179"/>
      <c r="R23" s="179"/>
      <c r="S23" s="179"/>
      <c r="T23" s="179"/>
    </row>
    <row r="26" spans="1:20" x14ac:dyDescent="0.2">
      <c r="F26" s="180"/>
      <c r="G26" s="180"/>
      <c r="H26" s="180"/>
    </row>
  </sheetData>
  <mergeCells count="15">
    <mergeCell ref="A3:M3"/>
    <mergeCell ref="A6:M6"/>
    <mergeCell ref="A8:A9"/>
    <mergeCell ref="B8:B9"/>
    <mergeCell ref="C8:C9"/>
    <mergeCell ref="D8:D9"/>
    <mergeCell ref="E8:L8"/>
    <mergeCell ref="A4:M4"/>
    <mergeCell ref="A15:M15"/>
    <mergeCell ref="A17:A18"/>
    <mergeCell ref="B17:B18"/>
    <mergeCell ref="C17:C18"/>
    <mergeCell ref="D17:D18"/>
    <mergeCell ref="E17:L17"/>
    <mergeCell ref="M17:M18"/>
  </mergeCells>
  <printOptions horizontalCentered="1"/>
  <pageMargins left="0.19685039370078741" right="0.19685039370078741" top="0.5" bottom="0.19685039370078741" header="0.51181102362204722" footer="0.17"/>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8C84E-1721-4CCD-96E7-0D0D0DDAFF36}">
  <dimension ref="A1:L10"/>
  <sheetViews>
    <sheetView view="pageBreakPreview" zoomScaleNormal="100" zoomScaleSheetLayoutView="100" workbookViewId="0">
      <selection activeCell="B4" sqref="B4"/>
    </sheetView>
  </sheetViews>
  <sheetFormatPr defaultRowHeight="12.75" x14ac:dyDescent="0.2"/>
  <cols>
    <col min="1" max="1" width="2.42578125" style="207" customWidth="1"/>
    <col min="2" max="2" width="24.42578125" style="208" customWidth="1"/>
    <col min="3" max="3" width="15.42578125" style="207" customWidth="1"/>
    <col min="4" max="4" width="17.85546875" style="207" customWidth="1"/>
    <col min="5" max="5" width="14.140625" style="207" customWidth="1"/>
    <col min="6" max="6" width="14.42578125" style="207" customWidth="1"/>
    <col min="7" max="7" width="10.42578125" style="207" bestFit="1" customWidth="1"/>
    <col min="8" max="8" width="10.42578125" style="207" customWidth="1"/>
    <col min="9" max="9" width="10.140625" style="207" customWidth="1"/>
    <col min="10" max="10" width="10.5703125" style="207" customWidth="1"/>
    <col min="11" max="11" width="10.42578125" style="207" bestFit="1" customWidth="1"/>
    <col min="12" max="256" width="9.140625" style="207"/>
    <col min="257" max="257" width="2.42578125" style="207" customWidth="1"/>
    <col min="258" max="258" width="24.42578125" style="207" customWidth="1"/>
    <col min="259" max="259" width="15.42578125" style="207" customWidth="1"/>
    <col min="260" max="260" width="17.85546875" style="207" customWidth="1"/>
    <col min="261" max="261" width="14.140625" style="207" customWidth="1"/>
    <col min="262" max="262" width="14.42578125" style="207" customWidth="1"/>
    <col min="263" max="263" width="10.42578125" style="207" bestFit="1" customWidth="1"/>
    <col min="264" max="264" width="10.42578125" style="207" customWidth="1"/>
    <col min="265" max="265" width="10.140625" style="207" customWidth="1"/>
    <col min="266" max="266" width="10.5703125" style="207" customWidth="1"/>
    <col min="267" max="267" width="10.42578125" style="207" bestFit="1" customWidth="1"/>
    <col min="268" max="512" width="9.140625" style="207"/>
    <col min="513" max="513" width="2.42578125" style="207" customWidth="1"/>
    <col min="514" max="514" width="24.42578125" style="207" customWidth="1"/>
    <col min="515" max="515" width="15.42578125" style="207" customWidth="1"/>
    <col min="516" max="516" width="17.85546875" style="207" customWidth="1"/>
    <col min="517" max="517" width="14.140625" style="207" customWidth="1"/>
    <col min="518" max="518" width="14.42578125" style="207" customWidth="1"/>
    <col min="519" max="519" width="10.42578125" style="207" bestFit="1" customWidth="1"/>
    <col min="520" max="520" width="10.42578125" style="207" customWidth="1"/>
    <col min="521" max="521" width="10.140625" style="207" customWidth="1"/>
    <col min="522" max="522" width="10.5703125" style="207" customWidth="1"/>
    <col min="523" max="523" width="10.42578125" style="207" bestFit="1" customWidth="1"/>
    <col min="524" max="768" width="9.140625" style="207"/>
    <col min="769" max="769" width="2.42578125" style="207" customWidth="1"/>
    <col min="770" max="770" width="24.42578125" style="207" customWidth="1"/>
    <col min="771" max="771" width="15.42578125" style="207" customWidth="1"/>
    <col min="772" max="772" width="17.85546875" style="207" customWidth="1"/>
    <col min="773" max="773" width="14.140625" style="207" customWidth="1"/>
    <col min="774" max="774" width="14.42578125" style="207" customWidth="1"/>
    <col min="775" max="775" width="10.42578125" style="207" bestFit="1" customWidth="1"/>
    <col min="776" max="776" width="10.42578125" style="207" customWidth="1"/>
    <col min="777" max="777" width="10.140625" style="207" customWidth="1"/>
    <col min="778" max="778" width="10.5703125" style="207" customWidth="1"/>
    <col min="779" max="779" width="10.42578125" style="207" bestFit="1" customWidth="1"/>
    <col min="780" max="1024" width="9.140625" style="207"/>
    <col min="1025" max="1025" width="2.42578125" style="207" customWidth="1"/>
    <col min="1026" max="1026" width="24.42578125" style="207" customWidth="1"/>
    <col min="1027" max="1027" width="15.42578125" style="207" customWidth="1"/>
    <col min="1028" max="1028" width="17.85546875" style="207" customWidth="1"/>
    <col min="1029" max="1029" width="14.140625" style="207" customWidth="1"/>
    <col min="1030" max="1030" width="14.42578125" style="207" customWidth="1"/>
    <col min="1031" max="1031" width="10.42578125" style="207" bestFit="1" customWidth="1"/>
    <col min="1032" max="1032" width="10.42578125" style="207" customWidth="1"/>
    <col min="1033" max="1033" width="10.140625" style="207" customWidth="1"/>
    <col min="1034" max="1034" width="10.5703125" style="207" customWidth="1"/>
    <col min="1035" max="1035" width="10.42578125" style="207" bestFit="1" customWidth="1"/>
    <col min="1036" max="1280" width="9.140625" style="207"/>
    <col min="1281" max="1281" width="2.42578125" style="207" customWidth="1"/>
    <col min="1282" max="1282" width="24.42578125" style="207" customWidth="1"/>
    <col min="1283" max="1283" width="15.42578125" style="207" customWidth="1"/>
    <col min="1284" max="1284" width="17.85546875" style="207" customWidth="1"/>
    <col min="1285" max="1285" width="14.140625" style="207" customWidth="1"/>
    <col min="1286" max="1286" width="14.42578125" style="207" customWidth="1"/>
    <col min="1287" max="1287" width="10.42578125" style="207" bestFit="1" customWidth="1"/>
    <col min="1288" max="1288" width="10.42578125" style="207" customWidth="1"/>
    <col min="1289" max="1289" width="10.140625" style="207" customWidth="1"/>
    <col min="1290" max="1290" width="10.5703125" style="207" customWidth="1"/>
    <col min="1291" max="1291" width="10.42578125" style="207" bestFit="1" customWidth="1"/>
    <col min="1292" max="1536" width="9.140625" style="207"/>
    <col min="1537" max="1537" width="2.42578125" style="207" customWidth="1"/>
    <col min="1538" max="1538" width="24.42578125" style="207" customWidth="1"/>
    <col min="1539" max="1539" width="15.42578125" style="207" customWidth="1"/>
    <col min="1540" max="1540" width="17.85546875" style="207" customWidth="1"/>
    <col min="1541" max="1541" width="14.140625" style="207" customWidth="1"/>
    <col min="1542" max="1542" width="14.42578125" style="207" customWidth="1"/>
    <col min="1543" max="1543" width="10.42578125" style="207" bestFit="1" customWidth="1"/>
    <col min="1544" max="1544" width="10.42578125" style="207" customWidth="1"/>
    <col min="1545" max="1545" width="10.140625" style="207" customWidth="1"/>
    <col min="1546" max="1546" width="10.5703125" style="207" customWidth="1"/>
    <col min="1547" max="1547" width="10.42578125" style="207" bestFit="1" customWidth="1"/>
    <col min="1548" max="1792" width="9.140625" style="207"/>
    <col min="1793" max="1793" width="2.42578125" style="207" customWidth="1"/>
    <col min="1794" max="1794" width="24.42578125" style="207" customWidth="1"/>
    <col min="1795" max="1795" width="15.42578125" style="207" customWidth="1"/>
    <col min="1796" max="1796" width="17.85546875" style="207" customWidth="1"/>
    <col min="1797" max="1797" width="14.140625" style="207" customWidth="1"/>
    <col min="1798" max="1798" width="14.42578125" style="207" customWidth="1"/>
    <col min="1799" max="1799" width="10.42578125" style="207" bestFit="1" customWidth="1"/>
    <col min="1800" max="1800" width="10.42578125" style="207" customWidth="1"/>
    <col min="1801" max="1801" width="10.140625" style="207" customWidth="1"/>
    <col min="1802" max="1802" width="10.5703125" style="207" customWidth="1"/>
    <col min="1803" max="1803" width="10.42578125" style="207" bestFit="1" customWidth="1"/>
    <col min="1804" max="2048" width="9.140625" style="207"/>
    <col min="2049" max="2049" width="2.42578125" style="207" customWidth="1"/>
    <col min="2050" max="2050" width="24.42578125" style="207" customWidth="1"/>
    <col min="2051" max="2051" width="15.42578125" style="207" customWidth="1"/>
    <col min="2052" max="2052" width="17.85546875" style="207" customWidth="1"/>
    <col min="2053" max="2053" width="14.140625" style="207" customWidth="1"/>
    <col min="2054" max="2054" width="14.42578125" style="207" customWidth="1"/>
    <col min="2055" max="2055" width="10.42578125" style="207" bestFit="1" customWidth="1"/>
    <col min="2056" max="2056" width="10.42578125" style="207" customWidth="1"/>
    <col min="2057" max="2057" width="10.140625" style="207" customWidth="1"/>
    <col min="2058" max="2058" width="10.5703125" style="207" customWidth="1"/>
    <col min="2059" max="2059" width="10.42578125" style="207" bestFit="1" customWidth="1"/>
    <col min="2060" max="2304" width="9.140625" style="207"/>
    <col min="2305" max="2305" width="2.42578125" style="207" customWidth="1"/>
    <col min="2306" max="2306" width="24.42578125" style="207" customWidth="1"/>
    <col min="2307" max="2307" width="15.42578125" style="207" customWidth="1"/>
    <col min="2308" max="2308" width="17.85546875" style="207" customWidth="1"/>
    <col min="2309" max="2309" width="14.140625" style="207" customWidth="1"/>
    <col min="2310" max="2310" width="14.42578125" style="207" customWidth="1"/>
    <col min="2311" max="2311" width="10.42578125" style="207" bestFit="1" customWidth="1"/>
    <col min="2312" max="2312" width="10.42578125" style="207" customWidth="1"/>
    <col min="2313" max="2313" width="10.140625" style="207" customWidth="1"/>
    <col min="2314" max="2314" width="10.5703125" style="207" customWidth="1"/>
    <col min="2315" max="2315" width="10.42578125" style="207" bestFit="1" customWidth="1"/>
    <col min="2316" max="2560" width="9.140625" style="207"/>
    <col min="2561" max="2561" width="2.42578125" style="207" customWidth="1"/>
    <col min="2562" max="2562" width="24.42578125" style="207" customWidth="1"/>
    <col min="2563" max="2563" width="15.42578125" style="207" customWidth="1"/>
    <col min="2564" max="2564" width="17.85546875" style="207" customWidth="1"/>
    <col min="2565" max="2565" width="14.140625" style="207" customWidth="1"/>
    <col min="2566" max="2566" width="14.42578125" style="207" customWidth="1"/>
    <col min="2567" max="2567" width="10.42578125" style="207" bestFit="1" customWidth="1"/>
    <col min="2568" max="2568" width="10.42578125" style="207" customWidth="1"/>
    <col min="2569" max="2569" width="10.140625" style="207" customWidth="1"/>
    <col min="2570" max="2570" width="10.5703125" style="207" customWidth="1"/>
    <col min="2571" max="2571" width="10.42578125" style="207" bestFit="1" customWidth="1"/>
    <col min="2572" max="2816" width="9.140625" style="207"/>
    <col min="2817" max="2817" width="2.42578125" style="207" customWidth="1"/>
    <col min="2818" max="2818" width="24.42578125" style="207" customWidth="1"/>
    <col min="2819" max="2819" width="15.42578125" style="207" customWidth="1"/>
    <col min="2820" max="2820" width="17.85546875" style="207" customWidth="1"/>
    <col min="2821" max="2821" width="14.140625" style="207" customWidth="1"/>
    <col min="2822" max="2822" width="14.42578125" style="207" customWidth="1"/>
    <col min="2823" max="2823" width="10.42578125" style="207" bestFit="1" customWidth="1"/>
    <col min="2824" max="2824" width="10.42578125" style="207" customWidth="1"/>
    <col min="2825" max="2825" width="10.140625" style="207" customWidth="1"/>
    <col min="2826" max="2826" width="10.5703125" style="207" customWidth="1"/>
    <col min="2827" max="2827" width="10.42578125" style="207" bestFit="1" customWidth="1"/>
    <col min="2828" max="3072" width="9.140625" style="207"/>
    <col min="3073" max="3073" width="2.42578125" style="207" customWidth="1"/>
    <col min="3074" max="3074" width="24.42578125" style="207" customWidth="1"/>
    <col min="3075" max="3075" width="15.42578125" style="207" customWidth="1"/>
    <col min="3076" max="3076" width="17.85546875" style="207" customWidth="1"/>
    <col min="3077" max="3077" width="14.140625" style="207" customWidth="1"/>
    <col min="3078" max="3078" width="14.42578125" style="207" customWidth="1"/>
    <col min="3079" max="3079" width="10.42578125" style="207" bestFit="1" customWidth="1"/>
    <col min="3080" max="3080" width="10.42578125" style="207" customWidth="1"/>
    <col min="3081" max="3081" width="10.140625" style="207" customWidth="1"/>
    <col min="3082" max="3082" width="10.5703125" style="207" customWidth="1"/>
    <col min="3083" max="3083" width="10.42578125" style="207" bestFit="1" customWidth="1"/>
    <col min="3084" max="3328" width="9.140625" style="207"/>
    <col min="3329" max="3329" width="2.42578125" style="207" customWidth="1"/>
    <col min="3330" max="3330" width="24.42578125" style="207" customWidth="1"/>
    <col min="3331" max="3331" width="15.42578125" style="207" customWidth="1"/>
    <col min="3332" max="3332" width="17.85546875" style="207" customWidth="1"/>
    <col min="3333" max="3333" width="14.140625" style="207" customWidth="1"/>
    <col min="3334" max="3334" width="14.42578125" style="207" customWidth="1"/>
    <col min="3335" max="3335" width="10.42578125" style="207" bestFit="1" customWidth="1"/>
    <col min="3336" max="3336" width="10.42578125" style="207" customWidth="1"/>
    <col min="3337" max="3337" width="10.140625" style="207" customWidth="1"/>
    <col min="3338" max="3338" width="10.5703125" style="207" customWidth="1"/>
    <col min="3339" max="3339" width="10.42578125" style="207" bestFit="1" customWidth="1"/>
    <col min="3340" max="3584" width="9.140625" style="207"/>
    <col min="3585" max="3585" width="2.42578125" style="207" customWidth="1"/>
    <col min="3586" max="3586" width="24.42578125" style="207" customWidth="1"/>
    <col min="3587" max="3587" width="15.42578125" style="207" customWidth="1"/>
    <col min="3588" max="3588" width="17.85546875" style="207" customWidth="1"/>
    <col min="3589" max="3589" width="14.140625" style="207" customWidth="1"/>
    <col min="3590" max="3590" width="14.42578125" style="207" customWidth="1"/>
    <col min="3591" max="3591" width="10.42578125" style="207" bestFit="1" customWidth="1"/>
    <col min="3592" max="3592" width="10.42578125" style="207" customWidth="1"/>
    <col min="3593" max="3593" width="10.140625" style="207" customWidth="1"/>
    <col min="3594" max="3594" width="10.5703125" style="207" customWidth="1"/>
    <col min="3595" max="3595" width="10.42578125" style="207" bestFit="1" customWidth="1"/>
    <col min="3596" max="3840" width="9.140625" style="207"/>
    <col min="3841" max="3841" width="2.42578125" style="207" customWidth="1"/>
    <col min="3842" max="3842" width="24.42578125" style="207" customWidth="1"/>
    <col min="3843" max="3843" width="15.42578125" style="207" customWidth="1"/>
    <col min="3844" max="3844" width="17.85546875" style="207" customWidth="1"/>
    <col min="3845" max="3845" width="14.140625" style="207" customWidth="1"/>
    <col min="3846" max="3846" width="14.42578125" style="207" customWidth="1"/>
    <col min="3847" max="3847" width="10.42578125" style="207" bestFit="1" customWidth="1"/>
    <col min="3848" max="3848" width="10.42578125" style="207" customWidth="1"/>
    <col min="3849" max="3849" width="10.140625" style="207" customWidth="1"/>
    <col min="3850" max="3850" width="10.5703125" style="207" customWidth="1"/>
    <col min="3851" max="3851" width="10.42578125" style="207" bestFit="1" customWidth="1"/>
    <col min="3852" max="4096" width="9.140625" style="207"/>
    <col min="4097" max="4097" width="2.42578125" style="207" customWidth="1"/>
    <col min="4098" max="4098" width="24.42578125" style="207" customWidth="1"/>
    <col min="4099" max="4099" width="15.42578125" style="207" customWidth="1"/>
    <col min="4100" max="4100" width="17.85546875" style="207" customWidth="1"/>
    <col min="4101" max="4101" width="14.140625" style="207" customWidth="1"/>
    <col min="4102" max="4102" width="14.42578125" style="207" customWidth="1"/>
    <col min="4103" max="4103" width="10.42578125" style="207" bestFit="1" customWidth="1"/>
    <col min="4104" max="4104" width="10.42578125" style="207" customWidth="1"/>
    <col min="4105" max="4105" width="10.140625" style="207" customWidth="1"/>
    <col min="4106" max="4106" width="10.5703125" style="207" customWidth="1"/>
    <col min="4107" max="4107" width="10.42578125" style="207" bestFit="1" customWidth="1"/>
    <col min="4108" max="4352" width="9.140625" style="207"/>
    <col min="4353" max="4353" width="2.42578125" style="207" customWidth="1"/>
    <col min="4354" max="4354" width="24.42578125" style="207" customWidth="1"/>
    <col min="4355" max="4355" width="15.42578125" style="207" customWidth="1"/>
    <col min="4356" max="4356" width="17.85546875" style="207" customWidth="1"/>
    <col min="4357" max="4357" width="14.140625" style="207" customWidth="1"/>
    <col min="4358" max="4358" width="14.42578125" style="207" customWidth="1"/>
    <col min="4359" max="4359" width="10.42578125" style="207" bestFit="1" customWidth="1"/>
    <col min="4360" max="4360" width="10.42578125" style="207" customWidth="1"/>
    <col min="4361" max="4361" width="10.140625" style="207" customWidth="1"/>
    <col min="4362" max="4362" width="10.5703125" style="207" customWidth="1"/>
    <col min="4363" max="4363" width="10.42578125" style="207" bestFit="1" customWidth="1"/>
    <col min="4364" max="4608" width="9.140625" style="207"/>
    <col min="4609" max="4609" width="2.42578125" style="207" customWidth="1"/>
    <col min="4610" max="4610" width="24.42578125" style="207" customWidth="1"/>
    <col min="4611" max="4611" width="15.42578125" style="207" customWidth="1"/>
    <col min="4612" max="4612" width="17.85546875" style="207" customWidth="1"/>
    <col min="4613" max="4613" width="14.140625" style="207" customWidth="1"/>
    <col min="4614" max="4614" width="14.42578125" style="207" customWidth="1"/>
    <col min="4615" max="4615" width="10.42578125" style="207" bestFit="1" customWidth="1"/>
    <col min="4616" max="4616" width="10.42578125" style="207" customWidth="1"/>
    <col min="4617" max="4617" width="10.140625" style="207" customWidth="1"/>
    <col min="4618" max="4618" width="10.5703125" style="207" customWidth="1"/>
    <col min="4619" max="4619" width="10.42578125" style="207" bestFit="1" customWidth="1"/>
    <col min="4620" max="4864" width="9.140625" style="207"/>
    <col min="4865" max="4865" width="2.42578125" style="207" customWidth="1"/>
    <col min="4866" max="4866" width="24.42578125" style="207" customWidth="1"/>
    <col min="4867" max="4867" width="15.42578125" style="207" customWidth="1"/>
    <col min="4868" max="4868" width="17.85546875" style="207" customWidth="1"/>
    <col min="4869" max="4869" width="14.140625" style="207" customWidth="1"/>
    <col min="4870" max="4870" width="14.42578125" style="207" customWidth="1"/>
    <col min="4871" max="4871" width="10.42578125" style="207" bestFit="1" customWidth="1"/>
    <col min="4872" max="4872" width="10.42578125" style="207" customWidth="1"/>
    <col min="4873" max="4873" width="10.140625" style="207" customWidth="1"/>
    <col min="4874" max="4874" width="10.5703125" style="207" customWidth="1"/>
    <col min="4875" max="4875" width="10.42578125" style="207" bestFit="1" customWidth="1"/>
    <col min="4876" max="5120" width="9.140625" style="207"/>
    <col min="5121" max="5121" width="2.42578125" style="207" customWidth="1"/>
    <col min="5122" max="5122" width="24.42578125" style="207" customWidth="1"/>
    <col min="5123" max="5123" width="15.42578125" style="207" customWidth="1"/>
    <col min="5124" max="5124" width="17.85546875" style="207" customWidth="1"/>
    <col min="5125" max="5125" width="14.140625" style="207" customWidth="1"/>
    <col min="5126" max="5126" width="14.42578125" style="207" customWidth="1"/>
    <col min="5127" max="5127" width="10.42578125" style="207" bestFit="1" customWidth="1"/>
    <col min="5128" max="5128" width="10.42578125" style="207" customWidth="1"/>
    <col min="5129" max="5129" width="10.140625" style="207" customWidth="1"/>
    <col min="5130" max="5130" width="10.5703125" style="207" customWidth="1"/>
    <col min="5131" max="5131" width="10.42578125" style="207" bestFit="1" customWidth="1"/>
    <col min="5132" max="5376" width="9.140625" style="207"/>
    <col min="5377" max="5377" width="2.42578125" style="207" customWidth="1"/>
    <col min="5378" max="5378" width="24.42578125" style="207" customWidth="1"/>
    <col min="5379" max="5379" width="15.42578125" style="207" customWidth="1"/>
    <col min="5380" max="5380" width="17.85546875" style="207" customWidth="1"/>
    <col min="5381" max="5381" width="14.140625" style="207" customWidth="1"/>
    <col min="5382" max="5382" width="14.42578125" style="207" customWidth="1"/>
    <col min="5383" max="5383" width="10.42578125" style="207" bestFit="1" customWidth="1"/>
    <col min="5384" max="5384" width="10.42578125" style="207" customWidth="1"/>
    <col min="5385" max="5385" width="10.140625" style="207" customWidth="1"/>
    <col min="5386" max="5386" width="10.5703125" style="207" customWidth="1"/>
    <col min="5387" max="5387" width="10.42578125" style="207" bestFit="1" customWidth="1"/>
    <col min="5388" max="5632" width="9.140625" style="207"/>
    <col min="5633" max="5633" width="2.42578125" style="207" customWidth="1"/>
    <col min="5634" max="5634" width="24.42578125" style="207" customWidth="1"/>
    <col min="5635" max="5635" width="15.42578125" style="207" customWidth="1"/>
    <col min="5636" max="5636" width="17.85546875" style="207" customWidth="1"/>
    <col min="5637" max="5637" width="14.140625" style="207" customWidth="1"/>
    <col min="5638" max="5638" width="14.42578125" style="207" customWidth="1"/>
    <col min="5639" max="5639" width="10.42578125" style="207" bestFit="1" customWidth="1"/>
    <col min="5640" max="5640" width="10.42578125" style="207" customWidth="1"/>
    <col min="5641" max="5641" width="10.140625" style="207" customWidth="1"/>
    <col min="5642" max="5642" width="10.5703125" style="207" customWidth="1"/>
    <col min="5643" max="5643" width="10.42578125" style="207" bestFit="1" customWidth="1"/>
    <col min="5644" max="5888" width="9.140625" style="207"/>
    <col min="5889" max="5889" width="2.42578125" style="207" customWidth="1"/>
    <col min="5890" max="5890" width="24.42578125" style="207" customWidth="1"/>
    <col min="5891" max="5891" width="15.42578125" style="207" customWidth="1"/>
    <col min="5892" max="5892" width="17.85546875" style="207" customWidth="1"/>
    <col min="5893" max="5893" width="14.140625" style="207" customWidth="1"/>
    <col min="5894" max="5894" width="14.42578125" style="207" customWidth="1"/>
    <col min="5895" max="5895" width="10.42578125" style="207" bestFit="1" customWidth="1"/>
    <col min="5896" max="5896" width="10.42578125" style="207" customWidth="1"/>
    <col min="5897" max="5897" width="10.140625" style="207" customWidth="1"/>
    <col min="5898" max="5898" width="10.5703125" style="207" customWidth="1"/>
    <col min="5899" max="5899" width="10.42578125" style="207" bestFit="1" customWidth="1"/>
    <col min="5900" max="6144" width="9.140625" style="207"/>
    <col min="6145" max="6145" width="2.42578125" style="207" customWidth="1"/>
    <col min="6146" max="6146" width="24.42578125" style="207" customWidth="1"/>
    <col min="6147" max="6147" width="15.42578125" style="207" customWidth="1"/>
    <col min="6148" max="6148" width="17.85546875" style="207" customWidth="1"/>
    <col min="6149" max="6149" width="14.140625" style="207" customWidth="1"/>
    <col min="6150" max="6150" width="14.42578125" style="207" customWidth="1"/>
    <col min="6151" max="6151" width="10.42578125" style="207" bestFit="1" customWidth="1"/>
    <col min="6152" max="6152" width="10.42578125" style="207" customWidth="1"/>
    <col min="6153" max="6153" width="10.140625" style="207" customWidth="1"/>
    <col min="6154" max="6154" width="10.5703125" style="207" customWidth="1"/>
    <col min="6155" max="6155" width="10.42578125" style="207" bestFit="1" customWidth="1"/>
    <col min="6156" max="6400" width="9.140625" style="207"/>
    <col min="6401" max="6401" width="2.42578125" style="207" customWidth="1"/>
    <col min="6402" max="6402" width="24.42578125" style="207" customWidth="1"/>
    <col min="6403" max="6403" width="15.42578125" style="207" customWidth="1"/>
    <col min="6404" max="6404" width="17.85546875" style="207" customWidth="1"/>
    <col min="6405" max="6405" width="14.140625" style="207" customWidth="1"/>
    <col min="6406" max="6406" width="14.42578125" style="207" customWidth="1"/>
    <col min="6407" max="6407" width="10.42578125" style="207" bestFit="1" customWidth="1"/>
    <col min="6408" max="6408" width="10.42578125" style="207" customWidth="1"/>
    <col min="6409" max="6409" width="10.140625" style="207" customWidth="1"/>
    <col min="6410" max="6410" width="10.5703125" style="207" customWidth="1"/>
    <col min="6411" max="6411" width="10.42578125" style="207" bestFit="1" customWidth="1"/>
    <col min="6412" max="6656" width="9.140625" style="207"/>
    <col min="6657" max="6657" width="2.42578125" style="207" customWidth="1"/>
    <col min="6658" max="6658" width="24.42578125" style="207" customWidth="1"/>
    <col min="6659" max="6659" width="15.42578125" style="207" customWidth="1"/>
    <col min="6660" max="6660" width="17.85546875" style="207" customWidth="1"/>
    <col min="6661" max="6661" width="14.140625" style="207" customWidth="1"/>
    <col min="6662" max="6662" width="14.42578125" style="207" customWidth="1"/>
    <col min="6663" max="6663" width="10.42578125" style="207" bestFit="1" customWidth="1"/>
    <col min="6664" max="6664" width="10.42578125" style="207" customWidth="1"/>
    <col min="6665" max="6665" width="10.140625" style="207" customWidth="1"/>
    <col min="6666" max="6666" width="10.5703125" style="207" customWidth="1"/>
    <col min="6667" max="6667" width="10.42578125" style="207" bestFit="1" customWidth="1"/>
    <col min="6668" max="6912" width="9.140625" style="207"/>
    <col min="6913" max="6913" width="2.42578125" style="207" customWidth="1"/>
    <col min="6914" max="6914" width="24.42578125" style="207" customWidth="1"/>
    <col min="6915" max="6915" width="15.42578125" style="207" customWidth="1"/>
    <col min="6916" max="6916" width="17.85546875" style="207" customWidth="1"/>
    <col min="6917" max="6917" width="14.140625" style="207" customWidth="1"/>
    <col min="6918" max="6918" width="14.42578125" style="207" customWidth="1"/>
    <col min="6919" max="6919" width="10.42578125" style="207" bestFit="1" customWidth="1"/>
    <col min="6920" max="6920" width="10.42578125" style="207" customWidth="1"/>
    <col min="6921" max="6921" width="10.140625" style="207" customWidth="1"/>
    <col min="6922" max="6922" width="10.5703125" style="207" customWidth="1"/>
    <col min="6923" max="6923" width="10.42578125" style="207" bestFit="1" customWidth="1"/>
    <col min="6924" max="7168" width="9.140625" style="207"/>
    <col min="7169" max="7169" width="2.42578125" style="207" customWidth="1"/>
    <col min="7170" max="7170" width="24.42578125" style="207" customWidth="1"/>
    <col min="7171" max="7171" width="15.42578125" style="207" customWidth="1"/>
    <col min="7172" max="7172" width="17.85546875" style="207" customWidth="1"/>
    <col min="7173" max="7173" width="14.140625" style="207" customWidth="1"/>
    <col min="7174" max="7174" width="14.42578125" style="207" customWidth="1"/>
    <col min="7175" max="7175" width="10.42578125" style="207" bestFit="1" customWidth="1"/>
    <col min="7176" max="7176" width="10.42578125" style="207" customWidth="1"/>
    <col min="7177" max="7177" width="10.140625" style="207" customWidth="1"/>
    <col min="7178" max="7178" width="10.5703125" style="207" customWidth="1"/>
    <col min="7179" max="7179" width="10.42578125" style="207" bestFit="1" customWidth="1"/>
    <col min="7180" max="7424" width="9.140625" style="207"/>
    <col min="7425" max="7425" width="2.42578125" style="207" customWidth="1"/>
    <col min="7426" max="7426" width="24.42578125" style="207" customWidth="1"/>
    <col min="7427" max="7427" width="15.42578125" style="207" customWidth="1"/>
    <col min="7428" max="7428" width="17.85546875" style="207" customWidth="1"/>
    <col min="7429" max="7429" width="14.140625" style="207" customWidth="1"/>
    <col min="7430" max="7430" width="14.42578125" style="207" customWidth="1"/>
    <col min="7431" max="7431" width="10.42578125" style="207" bestFit="1" customWidth="1"/>
    <col min="7432" max="7432" width="10.42578125" style="207" customWidth="1"/>
    <col min="7433" max="7433" width="10.140625" style="207" customWidth="1"/>
    <col min="7434" max="7434" width="10.5703125" style="207" customWidth="1"/>
    <col min="7435" max="7435" width="10.42578125" style="207" bestFit="1" customWidth="1"/>
    <col min="7436" max="7680" width="9.140625" style="207"/>
    <col min="7681" max="7681" width="2.42578125" style="207" customWidth="1"/>
    <col min="7682" max="7682" width="24.42578125" style="207" customWidth="1"/>
    <col min="7683" max="7683" width="15.42578125" style="207" customWidth="1"/>
    <col min="7684" max="7684" width="17.85546875" style="207" customWidth="1"/>
    <col min="7685" max="7685" width="14.140625" style="207" customWidth="1"/>
    <col min="7686" max="7686" width="14.42578125" style="207" customWidth="1"/>
    <col min="7687" max="7687" width="10.42578125" style="207" bestFit="1" customWidth="1"/>
    <col min="7688" max="7688" width="10.42578125" style="207" customWidth="1"/>
    <col min="7689" max="7689" width="10.140625" style="207" customWidth="1"/>
    <col min="7690" max="7690" width="10.5703125" style="207" customWidth="1"/>
    <col min="7691" max="7691" width="10.42578125" style="207" bestFit="1" customWidth="1"/>
    <col min="7692" max="7936" width="9.140625" style="207"/>
    <col min="7937" max="7937" width="2.42578125" style="207" customWidth="1"/>
    <col min="7938" max="7938" width="24.42578125" style="207" customWidth="1"/>
    <col min="7939" max="7939" width="15.42578125" style="207" customWidth="1"/>
    <col min="7940" max="7940" width="17.85546875" style="207" customWidth="1"/>
    <col min="7941" max="7941" width="14.140625" style="207" customWidth="1"/>
    <col min="7942" max="7942" width="14.42578125" style="207" customWidth="1"/>
    <col min="7943" max="7943" width="10.42578125" style="207" bestFit="1" customWidth="1"/>
    <col min="7944" max="7944" width="10.42578125" style="207" customWidth="1"/>
    <col min="7945" max="7945" width="10.140625" style="207" customWidth="1"/>
    <col min="7946" max="7946" width="10.5703125" style="207" customWidth="1"/>
    <col min="7947" max="7947" width="10.42578125" style="207" bestFit="1" customWidth="1"/>
    <col min="7948" max="8192" width="9.140625" style="207"/>
    <col min="8193" max="8193" width="2.42578125" style="207" customWidth="1"/>
    <col min="8194" max="8194" width="24.42578125" style="207" customWidth="1"/>
    <col min="8195" max="8195" width="15.42578125" style="207" customWidth="1"/>
    <col min="8196" max="8196" width="17.85546875" style="207" customWidth="1"/>
    <col min="8197" max="8197" width="14.140625" style="207" customWidth="1"/>
    <col min="8198" max="8198" width="14.42578125" style="207" customWidth="1"/>
    <col min="8199" max="8199" width="10.42578125" style="207" bestFit="1" customWidth="1"/>
    <col min="8200" max="8200" width="10.42578125" style="207" customWidth="1"/>
    <col min="8201" max="8201" width="10.140625" style="207" customWidth="1"/>
    <col min="8202" max="8202" width="10.5703125" style="207" customWidth="1"/>
    <col min="8203" max="8203" width="10.42578125" style="207" bestFit="1" customWidth="1"/>
    <col min="8204" max="8448" width="9.140625" style="207"/>
    <col min="8449" max="8449" width="2.42578125" style="207" customWidth="1"/>
    <col min="8450" max="8450" width="24.42578125" style="207" customWidth="1"/>
    <col min="8451" max="8451" width="15.42578125" style="207" customWidth="1"/>
    <col min="8452" max="8452" width="17.85546875" style="207" customWidth="1"/>
    <col min="8453" max="8453" width="14.140625" style="207" customWidth="1"/>
    <col min="8454" max="8454" width="14.42578125" style="207" customWidth="1"/>
    <col min="8455" max="8455" width="10.42578125" style="207" bestFit="1" customWidth="1"/>
    <col min="8456" max="8456" width="10.42578125" style="207" customWidth="1"/>
    <col min="8457" max="8457" width="10.140625" style="207" customWidth="1"/>
    <col min="8458" max="8458" width="10.5703125" style="207" customWidth="1"/>
    <col min="8459" max="8459" width="10.42578125" style="207" bestFit="1" customWidth="1"/>
    <col min="8460" max="8704" width="9.140625" style="207"/>
    <col min="8705" max="8705" width="2.42578125" style="207" customWidth="1"/>
    <col min="8706" max="8706" width="24.42578125" style="207" customWidth="1"/>
    <col min="8707" max="8707" width="15.42578125" style="207" customWidth="1"/>
    <col min="8708" max="8708" width="17.85546875" style="207" customWidth="1"/>
    <col min="8709" max="8709" width="14.140625" style="207" customWidth="1"/>
    <col min="8710" max="8710" width="14.42578125" style="207" customWidth="1"/>
    <col min="8711" max="8711" width="10.42578125" style="207" bestFit="1" customWidth="1"/>
    <col min="8712" max="8712" width="10.42578125" style="207" customWidth="1"/>
    <col min="8713" max="8713" width="10.140625" style="207" customWidth="1"/>
    <col min="8714" max="8714" width="10.5703125" style="207" customWidth="1"/>
    <col min="8715" max="8715" width="10.42578125" style="207" bestFit="1" customWidth="1"/>
    <col min="8716" max="8960" width="9.140625" style="207"/>
    <col min="8961" max="8961" width="2.42578125" style="207" customWidth="1"/>
    <col min="8962" max="8962" width="24.42578125" style="207" customWidth="1"/>
    <col min="8963" max="8963" width="15.42578125" style="207" customWidth="1"/>
    <col min="8964" max="8964" width="17.85546875" style="207" customWidth="1"/>
    <col min="8965" max="8965" width="14.140625" style="207" customWidth="1"/>
    <col min="8966" max="8966" width="14.42578125" style="207" customWidth="1"/>
    <col min="8967" max="8967" width="10.42578125" style="207" bestFit="1" customWidth="1"/>
    <col min="8968" max="8968" width="10.42578125" style="207" customWidth="1"/>
    <col min="8969" max="8969" width="10.140625" style="207" customWidth="1"/>
    <col min="8970" max="8970" width="10.5703125" style="207" customWidth="1"/>
    <col min="8971" max="8971" width="10.42578125" style="207" bestFit="1" customWidth="1"/>
    <col min="8972" max="9216" width="9.140625" style="207"/>
    <col min="9217" max="9217" width="2.42578125" style="207" customWidth="1"/>
    <col min="9218" max="9218" width="24.42578125" style="207" customWidth="1"/>
    <col min="9219" max="9219" width="15.42578125" style="207" customWidth="1"/>
    <col min="9220" max="9220" width="17.85546875" style="207" customWidth="1"/>
    <col min="9221" max="9221" width="14.140625" style="207" customWidth="1"/>
    <col min="9222" max="9222" width="14.42578125" style="207" customWidth="1"/>
    <col min="9223" max="9223" width="10.42578125" style="207" bestFit="1" customWidth="1"/>
    <col min="9224" max="9224" width="10.42578125" style="207" customWidth="1"/>
    <col min="9225" max="9225" width="10.140625" style="207" customWidth="1"/>
    <col min="9226" max="9226" width="10.5703125" style="207" customWidth="1"/>
    <col min="9227" max="9227" width="10.42578125" style="207" bestFit="1" customWidth="1"/>
    <col min="9228" max="9472" width="9.140625" style="207"/>
    <col min="9473" max="9473" width="2.42578125" style="207" customWidth="1"/>
    <col min="9474" max="9474" width="24.42578125" style="207" customWidth="1"/>
    <col min="9475" max="9475" width="15.42578125" style="207" customWidth="1"/>
    <col min="9476" max="9476" width="17.85546875" style="207" customWidth="1"/>
    <col min="9477" max="9477" width="14.140625" style="207" customWidth="1"/>
    <col min="9478" max="9478" width="14.42578125" style="207" customWidth="1"/>
    <col min="9479" max="9479" width="10.42578125" style="207" bestFit="1" customWidth="1"/>
    <col min="9480" max="9480" width="10.42578125" style="207" customWidth="1"/>
    <col min="9481" max="9481" width="10.140625" style="207" customWidth="1"/>
    <col min="9482" max="9482" width="10.5703125" style="207" customWidth="1"/>
    <col min="9483" max="9483" width="10.42578125" style="207" bestFit="1" customWidth="1"/>
    <col min="9484" max="9728" width="9.140625" style="207"/>
    <col min="9729" max="9729" width="2.42578125" style="207" customWidth="1"/>
    <col min="9730" max="9730" width="24.42578125" style="207" customWidth="1"/>
    <col min="9731" max="9731" width="15.42578125" style="207" customWidth="1"/>
    <col min="9732" max="9732" width="17.85546875" style="207" customWidth="1"/>
    <col min="9733" max="9733" width="14.140625" style="207" customWidth="1"/>
    <col min="9734" max="9734" width="14.42578125" style="207" customWidth="1"/>
    <col min="9735" max="9735" width="10.42578125" style="207" bestFit="1" customWidth="1"/>
    <col min="9736" max="9736" width="10.42578125" style="207" customWidth="1"/>
    <col min="9737" max="9737" width="10.140625" style="207" customWidth="1"/>
    <col min="9738" max="9738" width="10.5703125" style="207" customWidth="1"/>
    <col min="9739" max="9739" width="10.42578125" style="207" bestFit="1" customWidth="1"/>
    <col min="9740" max="9984" width="9.140625" style="207"/>
    <col min="9985" max="9985" width="2.42578125" style="207" customWidth="1"/>
    <col min="9986" max="9986" width="24.42578125" style="207" customWidth="1"/>
    <col min="9987" max="9987" width="15.42578125" style="207" customWidth="1"/>
    <col min="9988" max="9988" width="17.85546875" style="207" customWidth="1"/>
    <col min="9989" max="9989" width="14.140625" style="207" customWidth="1"/>
    <col min="9990" max="9990" width="14.42578125" style="207" customWidth="1"/>
    <col min="9991" max="9991" width="10.42578125" style="207" bestFit="1" customWidth="1"/>
    <col min="9992" max="9992" width="10.42578125" style="207" customWidth="1"/>
    <col min="9993" max="9993" width="10.140625" style="207" customWidth="1"/>
    <col min="9994" max="9994" width="10.5703125" style="207" customWidth="1"/>
    <col min="9995" max="9995" width="10.42578125" style="207" bestFit="1" customWidth="1"/>
    <col min="9996" max="10240" width="9.140625" style="207"/>
    <col min="10241" max="10241" width="2.42578125" style="207" customWidth="1"/>
    <col min="10242" max="10242" width="24.42578125" style="207" customWidth="1"/>
    <col min="10243" max="10243" width="15.42578125" style="207" customWidth="1"/>
    <col min="10244" max="10244" width="17.85546875" style="207" customWidth="1"/>
    <col min="10245" max="10245" width="14.140625" style="207" customWidth="1"/>
    <col min="10246" max="10246" width="14.42578125" style="207" customWidth="1"/>
    <col min="10247" max="10247" width="10.42578125" style="207" bestFit="1" customWidth="1"/>
    <col min="10248" max="10248" width="10.42578125" style="207" customWidth="1"/>
    <col min="10249" max="10249" width="10.140625" style="207" customWidth="1"/>
    <col min="10250" max="10250" width="10.5703125" style="207" customWidth="1"/>
    <col min="10251" max="10251" width="10.42578125" style="207" bestFit="1" customWidth="1"/>
    <col min="10252" max="10496" width="9.140625" style="207"/>
    <col min="10497" max="10497" width="2.42578125" style="207" customWidth="1"/>
    <col min="10498" max="10498" width="24.42578125" style="207" customWidth="1"/>
    <col min="10499" max="10499" width="15.42578125" style="207" customWidth="1"/>
    <col min="10500" max="10500" width="17.85546875" style="207" customWidth="1"/>
    <col min="10501" max="10501" width="14.140625" style="207" customWidth="1"/>
    <col min="10502" max="10502" width="14.42578125" style="207" customWidth="1"/>
    <col min="10503" max="10503" width="10.42578125" style="207" bestFit="1" customWidth="1"/>
    <col min="10504" max="10504" width="10.42578125" style="207" customWidth="1"/>
    <col min="10505" max="10505" width="10.140625" style="207" customWidth="1"/>
    <col min="10506" max="10506" width="10.5703125" style="207" customWidth="1"/>
    <col min="10507" max="10507" width="10.42578125" style="207" bestFit="1" customWidth="1"/>
    <col min="10508" max="10752" width="9.140625" style="207"/>
    <col min="10753" max="10753" width="2.42578125" style="207" customWidth="1"/>
    <col min="10754" max="10754" width="24.42578125" style="207" customWidth="1"/>
    <col min="10755" max="10755" width="15.42578125" style="207" customWidth="1"/>
    <col min="10756" max="10756" width="17.85546875" style="207" customWidth="1"/>
    <col min="10757" max="10757" width="14.140625" style="207" customWidth="1"/>
    <col min="10758" max="10758" width="14.42578125" style="207" customWidth="1"/>
    <col min="10759" max="10759" width="10.42578125" style="207" bestFit="1" customWidth="1"/>
    <col min="10760" max="10760" width="10.42578125" style="207" customWidth="1"/>
    <col min="10761" max="10761" width="10.140625" style="207" customWidth="1"/>
    <col min="10762" max="10762" width="10.5703125" style="207" customWidth="1"/>
    <col min="10763" max="10763" width="10.42578125" style="207" bestFit="1" customWidth="1"/>
    <col min="10764" max="11008" width="9.140625" style="207"/>
    <col min="11009" max="11009" width="2.42578125" style="207" customWidth="1"/>
    <col min="11010" max="11010" width="24.42578125" style="207" customWidth="1"/>
    <col min="11011" max="11011" width="15.42578125" style="207" customWidth="1"/>
    <col min="11012" max="11012" width="17.85546875" style="207" customWidth="1"/>
    <col min="11013" max="11013" width="14.140625" style="207" customWidth="1"/>
    <col min="11014" max="11014" width="14.42578125" style="207" customWidth="1"/>
    <col min="11015" max="11015" width="10.42578125" style="207" bestFit="1" customWidth="1"/>
    <col min="11016" max="11016" width="10.42578125" style="207" customWidth="1"/>
    <col min="11017" max="11017" width="10.140625" style="207" customWidth="1"/>
    <col min="11018" max="11018" width="10.5703125" style="207" customWidth="1"/>
    <col min="11019" max="11019" width="10.42578125" style="207" bestFit="1" customWidth="1"/>
    <col min="11020" max="11264" width="9.140625" style="207"/>
    <col min="11265" max="11265" width="2.42578125" style="207" customWidth="1"/>
    <col min="11266" max="11266" width="24.42578125" style="207" customWidth="1"/>
    <col min="11267" max="11267" width="15.42578125" style="207" customWidth="1"/>
    <col min="11268" max="11268" width="17.85546875" style="207" customWidth="1"/>
    <col min="11269" max="11269" width="14.140625" style="207" customWidth="1"/>
    <col min="11270" max="11270" width="14.42578125" style="207" customWidth="1"/>
    <col min="11271" max="11271" width="10.42578125" style="207" bestFit="1" customWidth="1"/>
    <col min="11272" max="11272" width="10.42578125" style="207" customWidth="1"/>
    <col min="11273" max="11273" width="10.140625" style="207" customWidth="1"/>
    <col min="11274" max="11274" width="10.5703125" style="207" customWidth="1"/>
    <col min="11275" max="11275" width="10.42578125" style="207" bestFit="1" customWidth="1"/>
    <col min="11276" max="11520" width="9.140625" style="207"/>
    <col min="11521" max="11521" width="2.42578125" style="207" customWidth="1"/>
    <col min="11522" max="11522" width="24.42578125" style="207" customWidth="1"/>
    <col min="11523" max="11523" width="15.42578125" style="207" customWidth="1"/>
    <col min="11524" max="11524" width="17.85546875" style="207" customWidth="1"/>
    <col min="11525" max="11525" width="14.140625" style="207" customWidth="1"/>
    <col min="11526" max="11526" width="14.42578125" style="207" customWidth="1"/>
    <col min="11527" max="11527" width="10.42578125" style="207" bestFit="1" customWidth="1"/>
    <col min="11528" max="11528" width="10.42578125" style="207" customWidth="1"/>
    <col min="11529" max="11529" width="10.140625" style="207" customWidth="1"/>
    <col min="11530" max="11530" width="10.5703125" style="207" customWidth="1"/>
    <col min="11531" max="11531" width="10.42578125" style="207" bestFit="1" customWidth="1"/>
    <col min="11532" max="11776" width="9.140625" style="207"/>
    <col min="11777" max="11777" width="2.42578125" style="207" customWidth="1"/>
    <col min="11778" max="11778" width="24.42578125" style="207" customWidth="1"/>
    <col min="11779" max="11779" width="15.42578125" style="207" customWidth="1"/>
    <col min="11780" max="11780" width="17.85546875" style="207" customWidth="1"/>
    <col min="11781" max="11781" width="14.140625" style="207" customWidth="1"/>
    <col min="11782" max="11782" width="14.42578125" style="207" customWidth="1"/>
    <col min="11783" max="11783" width="10.42578125" style="207" bestFit="1" customWidth="1"/>
    <col min="11784" max="11784" width="10.42578125" style="207" customWidth="1"/>
    <col min="11785" max="11785" width="10.140625" style="207" customWidth="1"/>
    <col min="11786" max="11786" width="10.5703125" style="207" customWidth="1"/>
    <col min="11787" max="11787" width="10.42578125" style="207" bestFit="1" customWidth="1"/>
    <col min="11788" max="12032" width="9.140625" style="207"/>
    <col min="12033" max="12033" width="2.42578125" style="207" customWidth="1"/>
    <col min="12034" max="12034" width="24.42578125" style="207" customWidth="1"/>
    <col min="12035" max="12035" width="15.42578125" style="207" customWidth="1"/>
    <col min="12036" max="12036" width="17.85546875" style="207" customWidth="1"/>
    <col min="12037" max="12037" width="14.140625" style="207" customWidth="1"/>
    <col min="12038" max="12038" width="14.42578125" style="207" customWidth="1"/>
    <col min="12039" max="12039" width="10.42578125" style="207" bestFit="1" customWidth="1"/>
    <col min="12040" max="12040" width="10.42578125" style="207" customWidth="1"/>
    <col min="12041" max="12041" width="10.140625" style="207" customWidth="1"/>
    <col min="12042" max="12042" width="10.5703125" style="207" customWidth="1"/>
    <col min="12043" max="12043" width="10.42578125" style="207" bestFit="1" customWidth="1"/>
    <col min="12044" max="12288" width="9.140625" style="207"/>
    <col min="12289" max="12289" width="2.42578125" style="207" customWidth="1"/>
    <col min="12290" max="12290" width="24.42578125" style="207" customWidth="1"/>
    <col min="12291" max="12291" width="15.42578125" style="207" customWidth="1"/>
    <col min="12292" max="12292" width="17.85546875" style="207" customWidth="1"/>
    <col min="12293" max="12293" width="14.140625" style="207" customWidth="1"/>
    <col min="12294" max="12294" width="14.42578125" style="207" customWidth="1"/>
    <col min="12295" max="12295" width="10.42578125" style="207" bestFit="1" customWidth="1"/>
    <col min="12296" max="12296" width="10.42578125" style="207" customWidth="1"/>
    <col min="12297" max="12297" width="10.140625" style="207" customWidth="1"/>
    <col min="12298" max="12298" width="10.5703125" style="207" customWidth="1"/>
    <col min="12299" max="12299" width="10.42578125" style="207" bestFit="1" customWidth="1"/>
    <col min="12300" max="12544" width="9.140625" style="207"/>
    <col min="12545" max="12545" width="2.42578125" style="207" customWidth="1"/>
    <col min="12546" max="12546" width="24.42578125" style="207" customWidth="1"/>
    <col min="12547" max="12547" width="15.42578125" style="207" customWidth="1"/>
    <col min="12548" max="12548" width="17.85546875" style="207" customWidth="1"/>
    <col min="12549" max="12549" width="14.140625" style="207" customWidth="1"/>
    <col min="12550" max="12550" width="14.42578125" style="207" customWidth="1"/>
    <col min="12551" max="12551" width="10.42578125" style="207" bestFit="1" customWidth="1"/>
    <col min="12552" max="12552" width="10.42578125" style="207" customWidth="1"/>
    <col min="12553" max="12553" width="10.140625" style="207" customWidth="1"/>
    <col min="12554" max="12554" width="10.5703125" style="207" customWidth="1"/>
    <col min="12555" max="12555" width="10.42578125" style="207" bestFit="1" customWidth="1"/>
    <col min="12556" max="12800" width="9.140625" style="207"/>
    <col min="12801" max="12801" width="2.42578125" style="207" customWidth="1"/>
    <col min="12802" max="12802" width="24.42578125" style="207" customWidth="1"/>
    <col min="12803" max="12803" width="15.42578125" style="207" customWidth="1"/>
    <col min="12804" max="12804" width="17.85546875" style="207" customWidth="1"/>
    <col min="12805" max="12805" width="14.140625" style="207" customWidth="1"/>
    <col min="12806" max="12806" width="14.42578125" style="207" customWidth="1"/>
    <col min="12807" max="12807" width="10.42578125" style="207" bestFit="1" customWidth="1"/>
    <col min="12808" max="12808" width="10.42578125" style="207" customWidth="1"/>
    <col min="12809" max="12809" width="10.140625" style="207" customWidth="1"/>
    <col min="12810" max="12810" width="10.5703125" style="207" customWidth="1"/>
    <col min="12811" max="12811" width="10.42578125" style="207" bestFit="1" customWidth="1"/>
    <col min="12812" max="13056" width="9.140625" style="207"/>
    <col min="13057" max="13057" width="2.42578125" style="207" customWidth="1"/>
    <col min="13058" max="13058" width="24.42578125" style="207" customWidth="1"/>
    <col min="13059" max="13059" width="15.42578125" style="207" customWidth="1"/>
    <col min="13060" max="13060" width="17.85546875" style="207" customWidth="1"/>
    <col min="13061" max="13061" width="14.140625" style="207" customWidth="1"/>
    <col min="13062" max="13062" width="14.42578125" style="207" customWidth="1"/>
    <col min="13063" max="13063" width="10.42578125" style="207" bestFit="1" customWidth="1"/>
    <col min="13064" max="13064" width="10.42578125" style="207" customWidth="1"/>
    <col min="13065" max="13065" width="10.140625" style="207" customWidth="1"/>
    <col min="13066" max="13066" width="10.5703125" style="207" customWidth="1"/>
    <col min="13067" max="13067" width="10.42578125" style="207" bestFit="1" customWidth="1"/>
    <col min="13068" max="13312" width="9.140625" style="207"/>
    <col min="13313" max="13313" width="2.42578125" style="207" customWidth="1"/>
    <col min="13314" max="13314" width="24.42578125" style="207" customWidth="1"/>
    <col min="13315" max="13315" width="15.42578125" style="207" customWidth="1"/>
    <col min="13316" max="13316" width="17.85546875" style="207" customWidth="1"/>
    <col min="13317" max="13317" width="14.140625" style="207" customWidth="1"/>
    <col min="13318" max="13318" width="14.42578125" style="207" customWidth="1"/>
    <col min="13319" max="13319" width="10.42578125" style="207" bestFit="1" customWidth="1"/>
    <col min="13320" max="13320" width="10.42578125" style="207" customWidth="1"/>
    <col min="13321" max="13321" width="10.140625" style="207" customWidth="1"/>
    <col min="13322" max="13322" width="10.5703125" style="207" customWidth="1"/>
    <col min="13323" max="13323" width="10.42578125" style="207" bestFit="1" customWidth="1"/>
    <col min="13324" max="13568" width="9.140625" style="207"/>
    <col min="13569" max="13569" width="2.42578125" style="207" customWidth="1"/>
    <col min="13570" max="13570" width="24.42578125" style="207" customWidth="1"/>
    <col min="13571" max="13571" width="15.42578125" style="207" customWidth="1"/>
    <col min="13572" max="13572" width="17.85546875" style="207" customWidth="1"/>
    <col min="13573" max="13573" width="14.140625" style="207" customWidth="1"/>
    <col min="13574" max="13574" width="14.42578125" style="207" customWidth="1"/>
    <col min="13575" max="13575" width="10.42578125" style="207" bestFit="1" customWidth="1"/>
    <col min="13576" max="13576" width="10.42578125" style="207" customWidth="1"/>
    <col min="13577" max="13577" width="10.140625" style="207" customWidth="1"/>
    <col min="13578" max="13578" width="10.5703125" style="207" customWidth="1"/>
    <col min="13579" max="13579" width="10.42578125" style="207" bestFit="1" customWidth="1"/>
    <col min="13580" max="13824" width="9.140625" style="207"/>
    <col min="13825" max="13825" width="2.42578125" style="207" customWidth="1"/>
    <col min="13826" max="13826" width="24.42578125" style="207" customWidth="1"/>
    <col min="13827" max="13827" width="15.42578125" style="207" customWidth="1"/>
    <col min="13828" max="13828" width="17.85546875" style="207" customWidth="1"/>
    <col min="13829" max="13829" width="14.140625" style="207" customWidth="1"/>
    <col min="13830" max="13830" width="14.42578125" style="207" customWidth="1"/>
    <col min="13831" max="13831" width="10.42578125" style="207" bestFit="1" customWidth="1"/>
    <col min="13832" max="13832" width="10.42578125" style="207" customWidth="1"/>
    <col min="13833" max="13833" width="10.140625" style="207" customWidth="1"/>
    <col min="13834" max="13834" width="10.5703125" style="207" customWidth="1"/>
    <col min="13835" max="13835" width="10.42578125" style="207" bestFit="1" customWidth="1"/>
    <col min="13836" max="14080" width="9.140625" style="207"/>
    <col min="14081" max="14081" width="2.42578125" style="207" customWidth="1"/>
    <col min="14082" max="14082" width="24.42578125" style="207" customWidth="1"/>
    <col min="14083" max="14083" width="15.42578125" style="207" customWidth="1"/>
    <col min="14084" max="14084" width="17.85546875" style="207" customWidth="1"/>
    <col min="14085" max="14085" width="14.140625" style="207" customWidth="1"/>
    <col min="14086" max="14086" width="14.42578125" style="207" customWidth="1"/>
    <col min="14087" max="14087" width="10.42578125" style="207" bestFit="1" customWidth="1"/>
    <col min="14088" max="14088" width="10.42578125" style="207" customWidth="1"/>
    <col min="14089" max="14089" width="10.140625" style="207" customWidth="1"/>
    <col min="14090" max="14090" width="10.5703125" style="207" customWidth="1"/>
    <col min="14091" max="14091" width="10.42578125" style="207" bestFit="1" customWidth="1"/>
    <col min="14092" max="14336" width="9.140625" style="207"/>
    <col min="14337" max="14337" width="2.42578125" style="207" customWidth="1"/>
    <col min="14338" max="14338" width="24.42578125" style="207" customWidth="1"/>
    <col min="14339" max="14339" width="15.42578125" style="207" customWidth="1"/>
    <col min="14340" max="14340" width="17.85546875" style="207" customWidth="1"/>
    <col min="14341" max="14341" width="14.140625" style="207" customWidth="1"/>
    <col min="14342" max="14342" width="14.42578125" style="207" customWidth="1"/>
    <col min="14343" max="14343" width="10.42578125" style="207" bestFit="1" customWidth="1"/>
    <col min="14344" max="14344" width="10.42578125" style="207" customWidth="1"/>
    <col min="14345" max="14345" width="10.140625" style="207" customWidth="1"/>
    <col min="14346" max="14346" width="10.5703125" style="207" customWidth="1"/>
    <col min="14347" max="14347" width="10.42578125" style="207" bestFit="1" customWidth="1"/>
    <col min="14348" max="14592" width="9.140625" style="207"/>
    <col min="14593" max="14593" width="2.42578125" style="207" customWidth="1"/>
    <col min="14594" max="14594" width="24.42578125" style="207" customWidth="1"/>
    <col min="14595" max="14595" width="15.42578125" style="207" customWidth="1"/>
    <col min="14596" max="14596" width="17.85546875" style="207" customWidth="1"/>
    <col min="14597" max="14597" width="14.140625" style="207" customWidth="1"/>
    <col min="14598" max="14598" width="14.42578125" style="207" customWidth="1"/>
    <col min="14599" max="14599" width="10.42578125" style="207" bestFit="1" customWidth="1"/>
    <col min="14600" max="14600" width="10.42578125" style="207" customWidth="1"/>
    <col min="14601" max="14601" width="10.140625" style="207" customWidth="1"/>
    <col min="14602" max="14602" width="10.5703125" style="207" customWidth="1"/>
    <col min="14603" max="14603" width="10.42578125" style="207" bestFit="1" customWidth="1"/>
    <col min="14604" max="14848" width="9.140625" style="207"/>
    <col min="14849" max="14849" width="2.42578125" style="207" customWidth="1"/>
    <col min="14850" max="14850" width="24.42578125" style="207" customWidth="1"/>
    <col min="14851" max="14851" width="15.42578125" style="207" customWidth="1"/>
    <col min="14852" max="14852" width="17.85546875" style="207" customWidth="1"/>
    <col min="14853" max="14853" width="14.140625" style="207" customWidth="1"/>
    <col min="14854" max="14854" width="14.42578125" style="207" customWidth="1"/>
    <col min="14855" max="14855" width="10.42578125" style="207" bestFit="1" customWidth="1"/>
    <col min="14856" max="14856" width="10.42578125" style="207" customWidth="1"/>
    <col min="14857" max="14857" width="10.140625" style="207" customWidth="1"/>
    <col min="14858" max="14858" width="10.5703125" style="207" customWidth="1"/>
    <col min="14859" max="14859" width="10.42578125" style="207" bestFit="1" customWidth="1"/>
    <col min="14860" max="15104" width="9.140625" style="207"/>
    <col min="15105" max="15105" width="2.42578125" style="207" customWidth="1"/>
    <col min="15106" max="15106" width="24.42578125" style="207" customWidth="1"/>
    <col min="15107" max="15107" width="15.42578125" style="207" customWidth="1"/>
    <col min="15108" max="15108" width="17.85546875" style="207" customWidth="1"/>
    <col min="15109" max="15109" width="14.140625" style="207" customWidth="1"/>
    <col min="15110" max="15110" width="14.42578125" style="207" customWidth="1"/>
    <col min="15111" max="15111" width="10.42578125" style="207" bestFit="1" customWidth="1"/>
    <col min="15112" max="15112" width="10.42578125" style="207" customWidth="1"/>
    <col min="15113" max="15113" width="10.140625" style="207" customWidth="1"/>
    <col min="15114" max="15114" width="10.5703125" style="207" customWidth="1"/>
    <col min="15115" max="15115" width="10.42578125" style="207" bestFit="1" customWidth="1"/>
    <col min="15116" max="15360" width="9.140625" style="207"/>
    <col min="15361" max="15361" width="2.42578125" style="207" customWidth="1"/>
    <col min="15362" max="15362" width="24.42578125" style="207" customWidth="1"/>
    <col min="15363" max="15363" width="15.42578125" style="207" customWidth="1"/>
    <col min="15364" max="15364" width="17.85546875" style="207" customWidth="1"/>
    <col min="15365" max="15365" width="14.140625" style="207" customWidth="1"/>
    <col min="15366" max="15366" width="14.42578125" style="207" customWidth="1"/>
    <col min="15367" max="15367" width="10.42578125" style="207" bestFit="1" customWidth="1"/>
    <col min="15368" max="15368" width="10.42578125" style="207" customWidth="1"/>
    <col min="15369" max="15369" width="10.140625" style="207" customWidth="1"/>
    <col min="15370" max="15370" width="10.5703125" style="207" customWidth="1"/>
    <col min="15371" max="15371" width="10.42578125" style="207" bestFit="1" customWidth="1"/>
    <col min="15372" max="15616" width="9.140625" style="207"/>
    <col min="15617" max="15617" width="2.42578125" style="207" customWidth="1"/>
    <col min="15618" max="15618" width="24.42578125" style="207" customWidth="1"/>
    <col min="15619" max="15619" width="15.42578125" style="207" customWidth="1"/>
    <col min="15620" max="15620" width="17.85546875" style="207" customWidth="1"/>
    <col min="15621" max="15621" width="14.140625" style="207" customWidth="1"/>
    <col min="15622" max="15622" width="14.42578125" style="207" customWidth="1"/>
    <col min="15623" max="15623" width="10.42578125" style="207" bestFit="1" customWidth="1"/>
    <col min="15624" max="15624" width="10.42578125" style="207" customWidth="1"/>
    <col min="15625" max="15625" width="10.140625" style="207" customWidth="1"/>
    <col min="15626" max="15626" width="10.5703125" style="207" customWidth="1"/>
    <col min="15627" max="15627" width="10.42578125" style="207" bestFit="1" customWidth="1"/>
    <col min="15628" max="15872" width="9.140625" style="207"/>
    <col min="15873" max="15873" width="2.42578125" style="207" customWidth="1"/>
    <col min="15874" max="15874" width="24.42578125" style="207" customWidth="1"/>
    <col min="15875" max="15875" width="15.42578125" style="207" customWidth="1"/>
    <col min="15876" max="15876" width="17.85546875" style="207" customWidth="1"/>
    <col min="15877" max="15877" width="14.140625" style="207" customWidth="1"/>
    <col min="15878" max="15878" width="14.42578125" style="207" customWidth="1"/>
    <col min="15879" max="15879" width="10.42578125" style="207" bestFit="1" customWidth="1"/>
    <col min="15880" max="15880" width="10.42578125" style="207" customWidth="1"/>
    <col min="15881" max="15881" width="10.140625" style="207" customWidth="1"/>
    <col min="15882" max="15882" width="10.5703125" style="207" customWidth="1"/>
    <col min="15883" max="15883" width="10.42578125" style="207" bestFit="1" customWidth="1"/>
    <col min="15884" max="16128" width="9.140625" style="207"/>
    <col min="16129" max="16129" width="2.42578125" style="207" customWidth="1"/>
    <col min="16130" max="16130" width="24.42578125" style="207" customWidth="1"/>
    <col min="16131" max="16131" width="15.42578125" style="207" customWidth="1"/>
    <col min="16132" max="16132" width="17.85546875" style="207" customWidth="1"/>
    <col min="16133" max="16133" width="14.140625" style="207" customWidth="1"/>
    <col min="16134" max="16134" width="14.42578125" style="207" customWidth="1"/>
    <col min="16135" max="16135" width="10.42578125" style="207" bestFit="1" customWidth="1"/>
    <col min="16136" max="16136" width="10.42578125" style="207" customWidth="1"/>
    <col min="16137" max="16137" width="10.140625" style="207" customWidth="1"/>
    <col min="16138" max="16138" width="10.5703125" style="207" customWidth="1"/>
    <col min="16139" max="16139" width="10.42578125" style="207" bestFit="1" customWidth="1"/>
    <col min="16140" max="16384" width="9.140625" style="207"/>
  </cols>
  <sheetData>
    <row r="1" spans="1:12" ht="12.75" customHeight="1" x14ac:dyDescent="0.25">
      <c r="A1" s="648" t="s">
        <v>948</v>
      </c>
      <c r="B1" s="648"/>
      <c r="C1" s="648"/>
      <c r="D1" s="648"/>
      <c r="E1" s="648"/>
      <c r="F1" s="648"/>
      <c r="G1" s="648"/>
      <c r="H1" s="648"/>
      <c r="I1" s="648"/>
      <c r="J1" s="648"/>
      <c r="K1" s="648"/>
    </row>
    <row r="2" spans="1:12" ht="15" x14ac:dyDescent="0.25">
      <c r="K2" s="9"/>
    </row>
    <row r="3" spans="1:12" x14ac:dyDescent="0.2">
      <c r="B3" s="649" t="s">
        <v>949</v>
      </c>
      <c r="C3" s="649"/>
      <c r="D3" s="649"/>
      <c r="E3" s="649"/>
      <c r="F3" s="649"/>
      <c r="G3" s="649"/>
      <c r="H3" s="649"/>
      <c r="I3" s="649"/>
      <c r="J3" s="209"/>
    </row>
    <row r="4" spans="1:12" x14ac:dyDescent="0.2">
      <c r="B4" s="210"/>
      <c r="C4" s="211"/>
      <c r="D4" s="211"/>
      <c r="E4" s="211"/>
      <c r="F4" s="211"/>
      <c r="K4" s="212" t="s">
        <v>23</v>
      </c>
    </row>
    <row r="5" spans="1:12" s="208" customFormat="1" ht="38.25" x14ac:dyDescent="0.2">
      <c r="A5" s="213"/>
      <c r="B5" s="214" t="s">
        <v>209</v>
      </c>
      <c r="C5" s="214" t="s">
        <v>229</v>
      </c>
      <c r="D5" s="214" t="s">
        <v>230</v>
      </c>
      <c r="E5" s="214" t="s">
        <v>231</v>
      </c>
      <c r="F5" s="214" t="s">
        <v>232</v>
      </c>
      <c r="G5" s="215" t="s">
        <v>234</v>
      </c>
      <c r="H5" s="215" t="s">
        <v>235</v>
      </c>
      <c r="I5" s="214" t="s">
        <v>236</v>
      </c>
      <c r="J5" s="214" t="s">
        <v>233</v>
      </c>
      <c r="K5" s="214" t="s">
        <v>237</v>
      </c>
    </row>
    <row r="6" spans="1:12" x14ac:dyDescent="0.2">
      <c r="A6" s="216" t="s">
        <v>220</v>
      </c>
      <c r="B6" s="217"/>
      <c r="C6" s="218"/>
      <c r="D6" s="219"/>
      <c r="E6" s="220"/>
      <c r="F6" s="220"/>
      <c r="G6" s="221"/>
      <c r="H6" s="221"/>
      <c r="I6" s="222"/>
      <c r="J6" s="222"/>
      <c r="K6" s="216"/>
      <c r="L6" s="223"/>
    </row>
    <row r="7" spans="1:12" x14ac:dyDescent="0.2">
      <c r="A7" s="216" t="s">
        <v>221</v>
      </c>
      <c r="B7" s="217"/>
      <c r="C7" s="218"/>
      <c r="D7" s="219"/>
      <c r="E7" s="220"/>
      <c r="F7" s="220"/>
      <c r="G7" s="221"/>
      <c r="H7" s="221"/>
      <c r="I7" s="222"/>
      <c r="J7" s="222"/>
      <c r="K7" s="216"/>
      <c r="L7" s="223"/>
    </row>
    <row r="8" spans="1:12" x14ac:dyDescent="0.2">
      <c r="A8" s="216" t="s">
        <v>222</v>
      </c>
      <c r="B8" s="217"/>
      <c r="C8" s="218"/>
      <c r="D8" s="219"/>
      <c r="E8" s="220"/>
      <c r="F8" s="220"/>
      <c r="G8" s="224"/>
      <c r="H8" s="224"/>
      <c r="I8" s="225"/>
      <c r="J8" s="225"/>
      <c r="K8" s="225"/>
      <c r="L8" s="223"/>
    </row>
    <row r="9" spans="1:12" x14ac:dyDescent="0.2">
      <c r="L9" s="223"/>
    </row>
    <row r="10" spans="1:12" x14ac:dyDescent="0.2">
      <c r="D10" s="223"/>
      <c r="E10" s="223"/>
      <c r="F10" s="223"/>
      <c r="G10" s="226"/>
      <c r="H10" s="226"/>
    </row>
  </sheetData>
  <mergeCells count="2">
    <mergeCell ref="A1:K1"/>
    <mergeCell ref="B3:I3"/>
  </mergeCells>
  <printOptions horizontalCentered="1"/>
  <pageMargins left="0.19685039370078741" right="0.19685039370078741"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5AE1C-E810-4B99-9A38-DEE1DC2D582C}">
  <sheetPr>
    <pageSetUpPr fitToPage="1"/>
  </sheetPr>
  <dimension ref="A1:O181"/>
  <sheetViews>
    <sheetView topLeftCell="A49" zoomScale="85" zoomScaleNormal="85" workbookViewId="0">
      <selection activeCell="C75" sqref="C75"/>
    </sheetView>
  </sheetViews>
  <sheetFormatPr defaultRowHeight="12.75" x14ac:dyDescent="0.2"/>
  <cols>
    <col min="1" max="1" width="61.28515625" style="8" customWidth="1"/>
    <col min="2" max="2" width="72.140625" style="8" customWidth="1"/>
    <col min="3" max="3" width="54" style="8" bestFit="1" customWidth="1"/>
    <col min="4" max="4" width="21.7109375" style="8" customWidth="1"/>
    <col min="5" max="5" width="16.140625" style="8" customWidth="1"/>
    <col min="6" max="6" width="7.42578125" style="8" bestFit="1" customWidth="1"/>
    <col min="7" max="7" width="3.85546875" style="8" bestFit="1" customWidth="1"/>
    <col min="8" max="8" width="14.28515625" style="8" customWidth="1"/>
    <col min="9" max="9" width="22.42578125" style="8" customWidth="1"/>
    <col min="10" max="10" width="22.5703125" style="8" customWidth="1"/>
    <col min="11" max="13" width="9.28515625" style="8" bestFit="1" customWidth="1"/>
    <col min="14" max="14" width="10.7109375" style="8" bestFit="1" customWidth="1"/>
    <col min="15" max="256" width="9.140625" style="8"/>
    <col min="257" max="257" width="52.5703125" style="8" customWidth="1"/>
    <col min="258" max="258" width="60" style="8" bestFit="1" customWidth="1"/>
    <col min="259" max="259" width="24.85546875" style="8" bestFit="1" customWidth="1"/>
    <col min="260" max="260" width="20.140625" style="8" customWidth="1"/>
    <col min="261" max="261" width="16.140625" style="8" customWidth="1"/>
    <col min="262" max="262" width="18" style="8" customWidth="1"/>
    <col min="263" max="263" width="16.5703125" style="8" customWidth="1"/>
    <col min="264" max="264" width="14.28515625" style="8" customWidth="1"/>
    <col min="265" max="265" width="22.42578125" style="8" customWidth="1"/>
    <col min="266" max="266" width="22.5703125" style="8" customWidth="1"/>
    <col min="267" max="269" width="9.28515625" style="8" bestFit="1" customWidth="1"/>
    <col min="270" max="270" width="10.7109375" style="8" bestFit="1" customWidth="1"/>
    <col min="271" max="512" width="9.140625" style="8"/>
    <col min="513" max="513" width="52.5703125" style="8" customWidth="1"/>
    <col min="514" max="514" width="60" style="8" bestFit="1" customWidth="1"/>
    <col min="515" max="515" width="24.85546875" style="8" bestFit="1" customWidth="1"/>
    <col min="516" max="516" width="20.140625" style="8" customWidth="1"/>
    <col min="517" max="517" width="16.140625" style="8" customWidth="1"/>
    <col min="518" max="518" width="18" style="8" customWidth="1"/>
    <col min="519" max="519" width="16.5703125" style="8" customWidth="1"/>
    <col min="520" max="520" width="14.28515625" style="8" customWidth="1"/>
    <col min="521" max="521" width="22.42578125" style="8" customWidth="1"/>
    <col min="522" max="522" width="22.5703125" style="8" customWidth="1"/>
    <col min="523" max="525" width="9.28515625" style="8" bestFit="1" customWidth="1"/>
    <col min="526" max="526" width="10.7109375" style="8" bestFit="1" customWidth="1"/>
    <col min="527" max="768" width="9.140625" style="8"/>
    <col min="769" max="769" width="52.5703125" style="8" customWidth="1"/>
    <col min="770" max="770" width="60" style="8" bestFit="1" customWidth="1"/>
    <col min="771" max="771" width="24.85546875" style="8" bestFit="1" customWidth="1"/>
    <col min="772" max="772" width="20.140625" style="8" customWidth="1"/>
    <col min="773" max="773" width="16.140625" style="8" customWidth="1"/>
    <col min="774" max="774" width="18" style="8" customWidth="1"/>
    <col min="775" max="775" width="16.5703125" style="8" customWidth="1"/>
    <col min="776" max="776" width="14.28515625" style="8" customWidth="1"/>
    <col min="777" max="777" width="22.42578125" style="8" customWidth="1"/>
    <col min="778" max="778" width="22.5703125" style="8" customWidth="1"/>
    <col min="779" max="781" width="9.28515625" style="8" bestFit="1" customWidth="1"/>
    <col min="782" max="782" width="10.7109375" style="8" bestFit="1" customWidth="1"/>
    <col min="783" max="1024" width="9.140625" style="8"/>
    <col min="1025" max="1025" width="52.5703125" style="8" customWidth="1"/>
    <col min="1026" max="1026" width="60" style="8" bestFit="1" customWidth="1"/>
    <col min="1027" max="1027" width="24.85546875" style="8" bestFit="1" customWidth="1"/>
    <col min="1028" max="1028" width="20.140625" style="8" customWidth="1"/>
    <col min="1029" max="1029" width="16.140625" style="8" customWidth="1"/>
    <col min="1030" max="1030" width="18" style="8" customWidth="1"/>
    <col min="1031" max="1031" width="16.5703125" style="8" customWidth="1"/>
    <col min="1032" max="1032" width="14.28515625" style="8" customWidth="1"/>
    <col min="1033" max="1033" width="22.42578125" style="8" customWidth="1"/>
    <col min="1034" max="1034" width="22.5703125" style="8" customWidth="1"/>
    <col min="1035" max="1037" width="9.28515625" style="8" bestFit="1" customWidth="1"/>
    <col min="1038" max="1038" width="10.7109375" style="8" bestFit="1" customWidth="1"/>
    <col min="1039" max="1280" width="9.140625" style="8"/>
    <col min="1281" max="1281" width="52.5703125" style="8" customWidth="1"/>
    <col min="1282" max="1282" width="60" style="8" bestFit="1" customWidth="1"/>
    <col min="1283" max="1283" width="24.85546875" style="8" bestFit="1" customWidth="1"/>
    <col min="1284" max="1284" width="20.140625" style="8" customWidth="1"/>
    <col min="1285" max="1285" width="16.140625" style="8" customWidth="1"/>
    <col min="1286" max="1286" width="18" style="8" customWidth="1"/>
    <col min="1287" max="1287" width="16.5703125" style="8" customWidth="1"/>
    <col min="1288" max="1288" width="14.28515625" style="8" customWidth="1"/>
    <col min="1289" max="1289" width="22.42578125" style="8" customWidth="1"/>
    <col min="1290" max="1290" width="22.5703125" style="8" customWidth="1"/>
    <col min="1291" max="1293" width="9.28515625" style="8" bestFit="1" customWidth="1"/>
    <col min="1294" max="1294" width="10.7109375" style="8" bestFit="1" customWidth="1"/>
    <col min="1295" max="1536" width="9.140625" style="8"/>
    <col min="1537" max="1537" width="52.5703125" style="8" customWidth="1"/>
    <col min="1538" max="1538" width="60" style="8" bestFit="1" customWidth="1"/>
    <col min="1539" max="1539" width="24.85546875" style="8" bestFit="1" customWidth="1"/>
    <col min="1540" max="1540" width="20.140625" style="8" customWidth="1"/>
    <col min="1541" max="1541" width="16.140625" style="8" customWidth="1"/>
    <col min="1542" max="1542" width="18" style="8" customWidth="1"/>
    <col min="1543" max="1543" width="16.5703125" style="8" customWidth="1"/>
    <col min="1544" max="1544" width="14.28515625" style="8" customWidth="1"/>
    <col min="1545" max="1545" width="22.42578125" style="8" customWidth="1"/>
    <col min="1546" max="1546" width="22.5703125" style="8" customWidth="1"/>
    <col min="1547" max="1549" width="9.28515625" style="8" bestFit="1" customWidth="1"/>
    <col min="1550" max="1550" width="10.7109375" style="8" bestFit="1" customWidth="1"/>
    <col min="1551" max="1792" width="9.140625" style="8"/>
    <col min="1793" max="1793" width="52.5703125" style="8" customWidth="1"/>
    <col min="1794" max="1794" width="60" style="8" bestFit="1" customWidth="1"/>
    <col min="1795" max="1795" width="24.85546875" style="8" bestFit="1" customWidth="1"/>
    <col min="1796" max="1796" width="20.140625" style="8" customWidth="1"/>
    <col min="1797" max="1797" width="16.140625" style="8" customWidth="1"/>
    <col min="1798" max="1798" width="18" style="8" customWidth="1"/>
    <col min="1799" max="1799" width="16.5703125" style="8" customWidth="1"/>
    <col min="1800" max="1800" width="14.28515625" style="8" customWidth="1"/>
    <col min="1801" max="1801" width="22.42578125" style="8" customWidth="1"/>
    <col min="1802" max="1802" width="22.5703125" style="8" customWidth="1"/>
    <col min="1803" max="1805" width="9.28515625" style="8" bestFit="1" customWidth="1"/>
    <col min="1806" max="1806" width="10.7109375" style="8" bestFit="1" customWidth="1"/>
    <col min="1807" max="2048" width="9.140625" style="8"/>
    <col min="2049" max="2049" width="52.5703125" style="8" customWidth="1"/>
    <col min="2050" max="2050" width="60" style="8" bestFit="1" customWidth="1"/>
    <col min="2051" max="2051" width="24.85546875" style="8" bestFit="1" customWidth="1"/>
    <col min="2052" max="2052" width="20.140625" style="8" customWidth="1"/>
    <col min="2053" max="2053" width="16.140625" style="8" customWidth="1"/>
    <col min="2054" max="2054" width="18" style="8" customWidth="1"/>
    <col min="2055" max="2055" width="16.5703125" style="8" customWidth="1"/>
    <col min="2056" max="2056" width="14.28515625" style="8" customWidth="1"/>
    <col min="2057" max="2057" width="22.42578125" style="8" customWidth="1"/>
    <col min="2058" max="2058" width="22.5703125" style="8" customWidth="1"/>
    <col min="2059" max="2061" width="9.28515625" style="8" bestFit="1" customWidth="1"/>
    <col min="2062" max="2062" width="10.7109375" style="8" bestFit="1" customWidth="1"/>
    <col min="2063" max="2304" width="9.140625" style="8"/>
    <col min="2305" max="2305" width="52.5703125" style="8" customWidth="1"/>
    <col min="2306" max="2306" width="60" style="8" bestFit="1" customWidth="1"/>
    <col min="2307" max="2307" width="24.85546875" style="8" bestFit="1" customWidth="1"/>
    <col min="2308" max="2308" width="20.140625" style="8" customWidth="1"/>
    <col min="2309" max="2309" width="16.140625" style="8" customWidth="1"/>
    <col min="2310" max="2310" width="18" style="8" customWidth="1"/>
    <col min="2311" max="2311" width="16.5703125" style="8" customWidth="1"/>
    <col min="2312" max="2312" width="14.28515625" style="8" customWidth="1"/>
    <col min="2313" max="2313" width="22.42578125" style="8" customWidth="1"/>
    <col min="2314" max="2314" width="22.5703125" style="8" customWidth="1"/>
    <col min="2315" max="2317" width="9.28515625" style="8" bestFit="1" customWidth="1"/>
    <col min="2318" max="2318" width="10.7109375" style="8" bestFit="1" customWidth="1"/>
    <col min="2319" max="2560" width="9.140625" style="8"/>
    <col min="2561" max="2561" width="52.5703125" style="8" customWidth="1"/>
    <col min="2562" max="2562" width="60" style="8" bestFit="1" customWidth="1"/>
    <col min="2563" max="2563" width="24.85546875" style="8" bestFit="1" customWidth="1"/>
    <col min="2564" max="2564" width="20.140625" style="8" customWidth="1"/>
    <col min="2565" max="2565" width="16.140625" style="8" customWidth="1"/>
    <col min="2566" max="2566" width="18" style="8" customWidth="1"/>
    <col min="2567" max="2567" width="16.5703125" style="8" customWidth="1"/>
    <col min="2568" max="2568" width="14.28515625" style="8" customWidth="1"/>
    <col min="2569" max="2569" width="22.42578125" style="8" customWidth="1"/>
    <col min="2570" max="2570" width="22.5703125" style="8" customWidth="1"/>
    <col min="2571" max="2573" width="9.28515625" style="8" bestFit="1" customWidth="1"/>
    <col min="2574" max="2574" width="10.7109375" style="8" bestFit="1" customWidth="1"/>
    <col min="2575" max="2816" width="9.140625" style="8"/>
    <col min="2817" max="2817" width="52.5703125" style="8" customWidth="1"/>
    <col min="2818" max="2818" width="60" style="8" bestFit="1" customWidth="1"/>
    <col min="2819" max="2819" width="24.85546875" style="8" bestFit="1" customWidth="1"/>
    <col min="2820" max="2820" width="20.140625" style="8" customWidth="1"/>
    <col min="2821" max="2821" width="16.140625" style="8" customWidth="1"/>
    <col min="2822" max="2822" width="18" style="8" customWidth="1"/>
    <col min="2823" max="2823" width="16.5703125" style="8" customWidth="1"/>
    <col min="2824" max="2824" width="14.28515625" style="8" customWidth="1"/>
    <col min="2825" max="2825" width="22.42578125" style="8" customWidth="1"/>
    <col min="2826" max="2826" width="22.5703125" style="8" customWidth="1"/>
    <col min="2827" max="2829" width="9.28515625" style="8" bestFit="1" customWidth="1"/>
    <col min="2830" max="2830" width="10.7109375" style="8" bestFit="1" customWidth="1"/>
    <col min="2831" max="3072" width="9.140625" style="8"/>
    <col min="3073" max="3073" width="52.5703125" style="8" customWidth="1"/>
    <col min="3074" max="3074" width="60" style="8" bestFit="1" customWidth="1"/>
    <col min="3075" max="3075" width="24.85546875" style="8" bestFit="1" customWidth="1"/>
    <col min="3076" max="3076" width="20.140625" style="8" customWidth="1"/>
    <col min="3077" max="3077" width="16.140625" style="8" customWidth="1"/>
    <col min="3078" max="3078" width="18" style="8" customWidth="1"/>
    <col min="3079" max="3079" width="16.5703125" style="8" customWidth="1"/>
    <col min="3080" max="3080" width="14.28515625" style="8" customWidth="1"/>
    <col min="3081" max="3081" width="22.42578125" style="8" customWidth="1"/>
    <col min="3082" max="3082" width="22.5703125" style="8" customWidth="1"/>
    <col min="3083" max="3085" width="9.28515625" style="8" bestFit="1" customWidth="1"/>
    <col min="3086" max="3086" width="10.7109375" style="8" bestFit="1" customWidth="1"/>
    <col min="3087" max="3328" width="9.140625" style="8"/>
    <col min="3329" max="3329" width="52.5703125" style="8" customWidth="1"/>
    <col min="3330" max="3330" width="60" style="8" bestFit="1" customWidth="1"/>
    <col min="3331" max="3331" width="24.85546875" style="8" bestFit="1" customWidth="1"/>
    <col min="3332" max="3332" width="20.140625" style="8" customWidth="1"/>
    <col min="3333" max="3333" width="16.140625" style="8" customWidth="1"/>
    <col min="3334" max="3334" width="18" style="8" customWidth="1"/>
    <col min="3335" max="3335" width="16.5703125" style="8" customWidth="1"/>
    <col min="3336" max="3336" width="14.28515625" style="8" customWidth="1"/>
    <col min="3337" max="3337" width="22.42578125" style="8" customWidth="1"/>
    <col min="3338" max="3338" width="22.5703125" style="8" customWidth="1"/>
    <col min="3339" max="3341" width="9.28515625" style="8" bestFit="1" customWidth="1"/>
    <col min="3342" max="3342" width="10.7109375" style="8" bestFit="1" customWidth="1"/>
    <col min="3343" max="3584" width="9.140625" style="8"/>
    <col min="3585" max="3585" width="52.5703125" style="8" customWidth="1"/>
    <col min="3586" max="3586" width="60" style="8" bestFit="1" customWidth="1"/>
    <col min="3587" max="3587" width="24.85546875" style="8" bestFit="1" customWidth="1"/>
    <col min="3588" max="3588" width="20.140625" style="8" customWidth="1"/>
    <col min="3589" max="3589" width="16.140625" style="8" customWidth="1"/>
    <col min="3590" max="3590" width="18" style="8" customWidth="1"/>
    <col min="3591" max="3591" width="16.5703125" style="8" customWidth="1"/>
    <col min="3592" max="3592" width="14.28515625" style="8" customWidth="1"/>
    <col min="3593" max="3593" width="22.42578125" style="8" customWidth="1"/>
    <col min="3594" max="3594" width="22.5703125" style="8" customWidth="1"/>
    <col min="3595" max="3597" width="9.28515625" style="8" bestFit="1" customWidth="1"/>
    <col min="3598" max="3598" width="10.7109375" style="8" bestFit="1" customWidth="1"/>
    <col min="3599" max="3840" width="9.140625" style="8"/>
    <col min="3841" max="3841" width="52.5703125" style="8" customWidth="1"/>
    <col min="3842" max="3842" width="60" style="8" bestFit="1" customWidth="1"/>
    <col min="3843" max="3843" width="24.85546875" style="8" bestFit="1" customWidth="1"/>
    <col min="3844" max="3844" width="20.140625" style="8" customWidth="1"/>
    <col min="3845" max="3845" width="16.140625" style="8" customWidth="1"/>
    <col min="3846" max="3846" width="18" style="8" customWidth="1"/>
    <col min="3847" max="3847" width="16.5703125" style="8" customWidth="1"/>
    <col min="3848" max="3848" width="14.28515625" style="8" customWidth="1"/>
    <col min="3849" max="3849" width="22.42578125" style="8" customWidth="1"/>
    <col min="3850" max="3850" width="22.5703125" style="8" customWidth="1"/>
    <col min="3851" max="3853" width="9.28515625" style="8" bestFit="1" customWidth="1"/>
    <col min="3854" max="3854" width="10.7109375" style="8" bestFit="1" customWidth="1"/>
    <col min="3855" max="4096" width="9.140625" style="8"/>
    <col min="4097" max="4097" width="52.5703125" style="8" customWidth="1"/>
    <col min="4098" max="4098" width="60" style="8" bestFit="1" customWidth="1"/>
    <col min="4099" max="4099" width="24.85546875" style="8" bestFit="1" customWidth="1"/>
    <col min="4100" max="4100" width="20.140625" style="8" customWidth="1"/>
    <col min="4101" max="4101" width="16.140625" style="8" customWidth="1"/>
    <col min="4102" max="4102" width="18" style="8" customWidth="1"/>
    <col min="4103" max="4103" width="16.5703125" style="8" customWidth="1"/>
    <col min="4104" max="4104" width="14.28515625" style="8" customWidth="1"/>
    <col min="4105" max="4105" width="22.42578125" style="8" customWidth="1"/>
    <col min="4106" max="4106" width="22.5703125" style="8" customWidth="1"/>
    <col min="4107" max="4109" width="9.28515625" style="8" bestFit="1" customWidth="1"/>
    <col min="4110" max="4110" width="10.7109375" style="8" bestFit="1" customWidth="1"/>
    <col min="4111" max="4352" width="9.140625" style="8"/>
    <col min="4353" max="4353" width="52.5703125" style="8" customWidth="1"/>
    <col min="4354" max="4354" width="60" style="8" bestFit="1" customWidth="1"/>
    <col min="4355" max="4355" width="24.85546875" style="8" bestFit="1" customWidth="1"/>
    <col min="4356" max="4356" width="20.140625" style="8" customWidth="1"/>
    <col min="4357" max="4357" width="16.140625" style="8" customWidth="1"/>
    <col min="4358" max="4358" width="18" style="8" customWidth="1"/>
    <col min="4359" max="4359" width="16.5703125" style="8" customWidth="1"/>
    <col min="4360" max="4360" width="14.28515625" style="8" customWidth="1"/>
    <col min="4361" max="4361" width="22.42578125" style="8" customWidth="1"/>
    <col min="4362" max="4362" width="22.5703125" style="8" customWidth="1"/>
    <col min="4363" max="4365" width="9.28515625" style="8" bestFit="1" customWidth="1"/>
    <col min="4366" max="4366" width="10.7109375" style="8" bestFit="1" customWidth="1"/>
    <col min="4367" max="4608" width="9.140625" style="8"/>
    <col min="4609" max="4609" width="52.5703125" style="8" customWidth="1"/>
    <col min="4610" max="4610" width="60" style="8" bestFit="1" customWidth="1"/>
    <col min="4611" max="4611" width="24.85546875" style="8" bestFit="1" customWidth="1"/>
    <col min="4612" max="4612" width="20.140625" style="8" customWidth="1"/>
    <col min="4613" max="4613" width="16.140625" style="8" customWidth="1"/>
    <col min="4614" max="4614" width="18" style="8" customWidth="1"/>
    <col min="4615" max="4615" width="16.5703125" style="8" customWidth="1"/>
    <col min="4616" max="4616" width="14.28515625" style="8" customWidth="1"/>
    <col min="4617" max="4617" width="22.42578125" style="8" customWidth="1"/>
    <col min="4618" max="4618" width="22.5703125" style="8" customWidth="1"/>
    <col min="4619" max="4621" width="9.28515625" style="8" bestFit="1" customWidth="1"/>
    <col min="4622" max="4622" width="10.7109375" style="8" bestFit="1" customWidth="1"/>
    <col min="4623" max="4864" width="9.140625" style="8"/>
    <col min="4865" max="4865" width="52.5703125" style="8" customWidth="1"/>
    <col min="4866" max="4866" width="60" style="8" bestFit="1" customWidth="1"/>
    <col min="4867" max="4867" width="24.85546875" style="8" bestFit="1" customWidth="1"/>
    <col min="4868" max="4868" width="20.140625" style="8" customWidth="1"/>
    <col min="4869" max="4869" width="16.140625" style="8" customWidth="1"/>
    <col min="4870" max="4870" width="18" style="8" customWidth="1"/>
    <col min="4871" max="4871" width="16.5703125" style="8" customWidth="1"/>
    <col min="4872" max="4872" width="14.28515625" style="8" customWidth="1"/>
    <col min="4873" max="4873" width="22.42578125" style="8" customWidth="1"/>
    <col min="4874" max="4874" width="22.5703125" style="8" customWidth="1"/>
    <col min="4875" max="4877" width="9.28515625" style="8" bestFit="1" customWidth="1"/>
    <col min="4878" max="4878" width="10.7109375" style="8" bestFit="1" customWidth="1"/>
    <col min="4879" max="5120" width="9.140625" style="8"/>
    <col min="5121" max="5121" width="52.5703125" style="8" customWidth="1"/>
    <col min="5122" max="5122" width="60" style="8" bestFit="1" customWidth="1"/>
    <col min="5123" max="5123" width="24.85546875" style="8" bestFit="1" customWidth="1"/>
    <col min="5124" max="5124" width="20.140625" style="8" customWidth="1"/>
    <col min="5125" max="5125" width="16.140625" style="8" customWidth="1"/>
    <col min="5126" max="5126" width="18" style="8" customWidth="1"/>
    <col min="5127" max="5127" width="16.5703125" style="8" customWidth="1"/>
    <col min="5128" max="5128" width="14.28515625" style="8" customWidth="1"/>
    <col min="5129" max="5129" width="22.42578125" style="8" customWidth="1"/>
    <col min="5130" max="5130" width="22.5703125" style="8" customWidth="1"/>
    <col min="5131" max="5133" width="9.28515625" style="8" bestFit="1" customWidth="1"/>
    <col min="5134" max="5134" width="10.7109375" style="8" bestFit="1" customWidth="1"/>
    <col min="5135" max="5376" width="9.140625" style="8"/>
    <col min="5377" max="5377" width="52.5703125" style="8" customWidth="1"/>
    <col min="5378" max="5378" width="60" style="8" bestFit="1" customWidth="1"/>
    <col min="5379" max="5379" width="24.85546875" style="8" bestFit="1" customWidth="1"/>
    <col min="5380" max="5380" width="20.140625" style="8" customWidth="1"/>
    <col min="5381" max="5381" width="16.140625" style="8" customWidth="1"/>
    <col min="5382" max="5382" width="18" style="8" customWidth="1"/>
    <col min="5383" max="5383" width="16.5703125" style="8" customWidth="1"/>
    <col min="5384" max="5384" width="14.28515625" style="8" customWidth="1"/>
    <col min="5385" max="5385" width="22.42578125" style="8" customWidth="1"/>
    <col min="5386" max="5386" width="22.5703125" style="8" customWidth="1"/>
    <col min="5387" max="5389" width="9.28515625" style="8" bestFit="1" customWidth="1"/>
    <col min="5390" max="5390" width="10.7109375" style="8" bestFit="1" customWidth="1"/>
    <col min="5391" max="5632" width="9.140625" style="8"/>
    <col min="5633" max="5633" width="52.5703125" style="8" customWidth="1"/>
    <col min="5634" max="5634" width="60" style="8" bestFit="1" customWidth="1"/>
    <col min="5635" max="5635" width="24.85546875" style="8" bestFit="1" customWidth="1"/>
    <col min="5636" max="5636" width="20.140625" style="8" customWidth="1"/>
    <col min="5637" max="5637" width="16.140625" style="8" customWidth="1"/>
    <col min="5638" max="5638" width="18" style="8" customWidth="1"/>
    <col min="5639" max="5639" width="16.5703125" style="8" customWidth="1"/>
    <col min="5640" max="5640" width="14.28515625" style="8" customWidth="1"/>
    <col min="5641" max="5641" width="22.42578125" style="8" customWidth="1"/>
    <col min="5642" max="5642" width="22.5703125" style="8" customWidth="1"/>
    <col min="5643" max="5645" width="9.28515625" style="8" bestFit="1" customWidth="1"/>
    <col min="5646" max="5646" width="10.7109375" style="8" bestFit="1" customWidth="1"/>
    <col min="5647" max="5888" width="9.140625" style="8"/>
    <col min="5889" max="5889" width="52.5703125" style="8" customWidth="1"/>
    <col min="5890" max="5890" width="60" style="8" bestFit="1" customWidth="1"/>
    <col min="5891" max="5891" width="24.85546875" style="8" bestFit="1" customWidth="1"/>
    <col min="5892" max="5892" width="20.140625" style="8" customWidth="1"/>
    <col min="5893" max="5893" width="16.140625" style="8" customWidth="1"/>
    <col min="5894" max="5894" width="18" style="8" customWidth="1"/>
    <col min="5895" max="5895" width="16.5703125" style="8" customWidth="1"/>
    <col min="5896" max="5896" width="14.28515625" style="8" customWidth="1"/>
    <col min="5897" max="5897" width="22.42578125" style="8" customWidth="1"/>
    <col min="5898" max="5898" width="22.5703125" style="8" customWidth="1"/>
    <col min="5899" max="5901" width="9.28515625" style="8" bestFit="1" customWidth="1"/>
    <col min="5902" max="5902" width="10.7109375" style="8" bestFit="1" customWidth="1"/>
    <col min="5903" max="6144" width="9.140625" style="8"/>
    <col min="6145" max="6145" width="52.5703125" style="8" customWidth="1"/>
    <col min="6146" max="6146" width="60" style="8" bestFit="1" customWidth="1"/>
    <col min="6147" max="6147" width="24.85546875" style="8" bestFit="1" customWidth="1"/>
    <col min="6148" max="6148" width="20.140625" style="8" customWidth="1"/>
    <col min="6149" max="6149" width="16.140625" style="8" customWidth="1"/>
    <col min="6150" max="6150" width="18" style="8" customWidth="1"/>
    <col min="6151" max="6151" width="16.5703125" style="8" customWidth="1"/>
    <col min="6152" max="6152" width="14.28515625" style="8" customWidth="1"/>
    <col min="6153" max="6153" width="22.42578125" style="8" customWidth="1"/>
    <col min="6154" max="6154" width="22.5703125" style="8" customWidth="1"/>
    <col min="6155" max="6157" width="9.28515625" style="8" bestFit="1" customWidth="1"/>
    <col min="6158" max="6158" width="10.7109375" style="8" bestFit="1" customWidth="1"/>
    <col min="6159" max="6400" width="9.140625" style="8"/>
    <col min="6401" max="6401" width="52.5703125" style="8" customWidth="1"/>
    <col min="6402" max="6402" width="60" style="8" bestFit="1" customWidth="1"/>
    <col min="6403" max="6403" width="24.85546875" style="8" bestFit="1" customWidth="1"/>
    <col min="6404" max="6404" width="20.140625" style="8" customWidth="1"/>
    <col min="6405" max="6405" width="16.140625" style="8" customWidth="1"/>
    <col min="6406" max="6406" width="18" style="8" customWidth="1"/>
    <col min="6407" max="6407" width="16.5703125" style="8" customWidth="1"/>
    <col min="6408" max="6408" width="14.28515625" style="8" customWidth="1"/>
    <col min="6409" max="6409" width="22.42578125" style="8" customWidth="1"/>
    <col min="6410" max="6410" width="22.5703125" style="8" customWidth="1"/>
    <col min="6411" max="6413" width="9.28515625" style="8" bestFit="1" customWidth="1"/>
    <col min="6414" max="6414" width="10.7109375" style="8" bestFit="1" customWidth="1"/>
    <col min="6415" max="6656" width="9.140625" style="8"/>
    <col min="6657" max="6657" width="52.5703125" style="8" customWidth="1"/>
    <col min="6658" max="6658" width="60" style="8" bestFit="1" customWidth="1"/>
    <col min="6659" max="6659" width="24.85546875" style="8" bestFit="1" customWidth="1"/>
    <col min="6660" max="6660" width="20.140625" style="8" customWidth="1"/>
    <col min="6661" max="6661" width="16.140625" style="8" customWidth="1"/>
    <col min="6662" max="6662" width="18" style="8" customWidth="1"/>
    <col min="6663" max="6663" width="16.5703125" style="8" customWidth="1"/>
    <col min="6664" max="6664" width="14.28515625" style="8" customWidth="1"/>
    <col min="6665" max="6665" width="22.42578125" style="8" customWidth="1"/>
    <col min="6666" max="6666" width="22.5703125" style="8" customWidth="1"/>
    <col min="6667" max="6669" width="9.28515625" style="8" bestFit="1" customWidth="1"/>
    <col min="6670" max="6670" width="10.7109375" style="8" bestFit="1" customWidth="1"/>
    <col min="6671" max="6912" width="9.140625" style="8"/>
    <col min="6913" max="6913" width="52.5703125" style="8" customWidth="1"/>
    <col min="6914" max="6914" width="60" style="8" bestFit="1" customWidth="1"/>
    <col min="6915" max="6915" width="24.85546875" style="8" bestFit="1" customWidth="1"/>
    <col min="6916" max="6916" width="20.140625" style="8" customWidth="1"/>
    <col min="6917" max="6917" width="16.140625" style="8" customWidth="1"/>
    <col min="6918" max="6918" width="18" style="8" customWidth="1"/>
    <col min="6919" max="6919" width="16.5703125" style="8" customWidth="1"/>
    <col min="6920" max="6920" width="14.28515625" style="8" customWidth="1"/>
    <col min="6921" max="6921" width="22.42578125" style="8" customWidth="1"/>
    <col min="6922" max="6922" width="22.5703125" style="8" customWidth="1"/>
    <col min="6923" max="6925" width="9.28515625" style="8" bestFit="1" customWidth="1"/>
    <col min="6926" max="6926" width="10.7109375" style="8" bestFit="1" customWidth="1"/>
    <col min="6927" max="7168" width="9.140625" style="8"/>
    <col min="7169" max="7169" width="52.5703125" style="8" customWidth="1"/>
    <col min="7170" max="7170" width="60" style="8" bestFit="1" customWidth="1"/>
    <col min="7171" max="7171" width="24.85546875" style="8" bestFit="1" customWidth="1"/>
    <col min="7172" max="7172" width="20.140625" style="8" customWidth="1"/>
    <col min="7173" max="7173" width="16.140625" style="8" customWidth="1"/>
    <col min="7174" max="7174" width="18" style="8" customWidth="1"/>
    <col min="7175" max="7175" width="16.5703125" style="8" customWidth="1"/>
    <col min="7176" max="7176" width="14.28515625" style="8" customWidth="1"/>
    <col min="7177" max="7177" width="22.42578125" style="8" customWidth="1"/>
    <col min="7178" max="7178" width="22.5703125" style="8" customWidth="1"/>
    <col min="7179" max="7181" width="9.28515625" style="8" bestFit="1" customWidth="1"/>
    <col min="7182" max="7182" width="10.7109375" style="8" bestFit="1" customWidth="1"/>
    <col min="7183" max="7424" width="9.140625" style="8"/>
    <col min="7425" max="7425" width="52.5703125" style="8" customWidth="1"/>
    <col min="7426" max="7426" width="60" style="8" bestFit="1" customWidth="1"/>
    <col min="7427" max="7427" width="24.85546875" style="8" bestFit="1" customWidth="1"/>
    <col min="7428" max="7428" width="20.140625" style="8" customWidth="1"/>
    <col min="7429" max="7429" width="16.140625" style="8" customWidth="1"/>
    <col min="7430" max="7430" width="18" style="8" customWidth="1"/>
    <col min="7431" max="7431" width="16.5703125" style="8" customWidth="1"/>
    <col min="7432" max="7432" width="14.28515625" style="8" customWidth="1"/>
    <col min="7433" max="7433" width="22.42578125" style="8" customWidth="1"/>
    <col min="7434" max="7434" width="22.5703125" style="8" customWidth="1"/>
    <col min="7435" max="7437" width="9.28515625" style="8" bestFit="1" customWidth="1"/>
    <col min="7438" max="7438" width="10.7109375" style="8" bestFit="1" customWidth="1"/>
    <col min="7439" max="7680" width="9.140625" style="8"/>
    <col min="7681" max="7681" width="52.5703125" style="8" customWidth="1"/>
    <col min="7682" max="7682" width="60" style="8" bestFit="1" customWidth="1"/>
    <col min="7683" max="7683" width="24.85546875" style="8" bestFit="1" customWidth="1"/>
    <col min="7684" max="7684" width="20.140625" style="8" customWidth="1"/>
    <col min="7685" max="7685" width="16.140625" style="8" customWidth="1"/>
    <col min="7686" max="7686" width="18" style="8" customWidth="1"/>
    <col min="7687" max="7687" width="16.5703125" style="8" customWidth="1"/>
    <col min="7688" max="7688" width="14.28515625" style="8" customWidth="1"/>
    <col min="7689" max="7689" width="22.42578125" style="8" customWidth="1"/>
    <col min="7690" max="7690" width="22.5703125" style="8" customWidth="1"/>
    <col min="7691" max="7693" width="9.28515625" style="8" bestFit="1" customWidth="1"/>
    <col min="7694" max="7694" width="10.7109375" style="8" bestFit="1" customWidth="1"/>
    <col min="7695" max="7936" width="9.140625" style="8"/>
    <col min="7937" max="7937" width="52.5703125" style="8" customWidth="1"/>
    <col min="7938" max="7938" width="60" style="8" bestFit="1" customWidth="1"/>
    <col min="7939" max="7939" width="24.85546875" style="8" bestFit="1" customWidth="1"/>
    <col min="7940" max="7940" width="20.140625" style="8" customWidth="1"/>
    <col min="7941" max="7941" width="16.140625" style="8" customWidth="1"/>
    <col min="7942" max="7942" width="18" style="8" customWidth="1"/>
    <col min="7943" max="7943" width="16.5703125" style="8" customWidth="1"/>
    <col min="7944" max="7944" width="14.28515625" style="8" customWidth="1"/>
    <col min="7945" max="7945" width="22.42578125" style="8" customWidth="1"/>
    <col min="7946" max="7946" width="22.5703125" style="8" customWidth="1"/>
    <col min="7947" max="7949" width="9.28515625" style="8" bestFit="1" customWidth="1"/>
    <col min="7950" max="7950" width="10.7109375" style="8" bestFit="1" customWidth="1"/>
    <col min="7951" max="8192" width="9.140625" style="8"/>
    <col min="8193" max="8193" width="52.5703125" style="8" customWidth="1"/>
    <col min="8194" max="8194" width="60" style="8" bestFit="1" customWidth="1"/>
    <col min="8195" max="8195" width="24.85546875" style="8" bestFit="1" customWidth="1"/>
    <col min="8196" max="8196" width="20.140625" style="8" customWidth="1"/>
    <col min="8197" max="8197" width="16.140625" style="8" customWidth="1"/>
    <col min="8198" max="8198" width="18" style="8" customWidth="1"/>
    <col min="8199" max="8199" width="16.5703125" style="8" customWidth="1"/>
    <col min="8200" max="8200" width="14.28515625" style="8" customWidth="1"/>
    <col min="8201" max="8201" width="22.42578125" style="8" customWidth="1"/>
    <col min="8202" max="8202" width="22.5703125" style="8" customWidth="1"/>
    <col min="8203" max="8205" width="9.28515625" style="8" bestFit="1" customWidth="1"/>
    <col min="8206" max="8206" width="10.7109375" style="8" bestFit="1" customWidth="1"/>
    <col min="8207" max="8448" width="9.140625" style="8"/>
    <col min="8449" max="8449" width="52.5703125" style="8" customWidth="1"/>
    <col min="8450" max="8450" width="60" style="8" bestFit="1" customWidth="1"/>
    <col min="8451" max="8451" width="24.85546875" style="8" bestFit="1" customWidth="1"/>
    <col min="8452" max="8452" width="20.140625" style="8" customWidth="1"/>
    <col min="8453" max="8453" width="16.140625" style="8" customWidth="1"/>
    <col min="8454" max="8454" width="18" style="8" customWidth="1"/>
    <col min="8455" max="8455" width="16.5703125" style="8" customWidth="1"/>
    <col min="8456" max="8456" width="14.28515625" style="8" customWidth="1"/>
    <col min="8457" max="8457" width="22.42578125" style="8" customWidth="1"/>
    <col min="8458" max="8458" width="22.5703125" style="8" customWidth="1"/>
    <col min="8459" max="8461" width="9.28515625" style="8" bestFit="1" customWidth="1"/>
    <col min="8462" max="8462" width="10.7109375" style="8" bestFit="1" customWidth="1"/>
    <col min="8463" max="8704" width="9.140625" style="8"/>
    <col min="8705" max="8705" width="52.5703125" style="8" customWidth="1"/>
    <col min="8706" max="8706" width="60" style="8" bestFit="1" customWidth="1"/>
    <col min="8707" max="8707" width="24.85546875" style="8" bestFit="1" customWidth="1"/>
    <col min="8708" max="8708" width="20.140625" style="8" customWidth="1"/>
    <col min="8709" max="8709" width="16.140625" style="8" customWidth="1"/>
    <col min="8710" max="8710" width="18" style="8" customWidth="1"/>
    <col min="8711" max="8711" width="16.5703125" style="8" customWidth="1"/>
    <col min="8712" max="8712" width="14.28515625" style="8" customWidth="1"/>
    <col min="8713" max="8713" width="22.42578125" style="8" customWidth="1"/>
    <col min="8714" max="8714" width="22.5703125" style="8" customWidth="1"/>
    <col min="8715" max="8717" width="9.28515625" style="8" bestFit="1" customWidth="1"/>
    <col min="8718" max="8718" width="10.7109375" style="8" bestFit="1" customWidth="1"/>
    <col min="8719" max="8960" width="9.140625" style="8"/>
    <col min="8961" max="8961" width="52.5703125" style="8" customWidth="1"/>
    <col min="8962" max="8962" width="60" style="8" bestFit="1" customWidth="1"/>
    <col min="8963" max="8963" width="24.85546875" style="8" bestFit="1" customWidth="1"/>
    <col min="8964" max="8964" width="20.140625" style="8" customWidth="1"/>
    <col min="8965" max="8965" width="16.140625" style="8" customWidth="1"/>
    <col min="8966" max="8966" width="18" style="8" customWidth="1"/>
    <col min="8967" max="8967" width="16.5703125" style="8" customWidth="1"/>
    <col min="8968" max="8968" width="14.28515625" style="8" customWidth="1"/>
    <col min="8969" max="8969" width="22.42578125" style="8" customWidth="1"/>
    <col min="8970" max="8970" width="22.5703125" style="8" customWidth="1"/>
    <col min="8971" max="8973" width="9.28515625" style="8" bestFit="1" customWidth="1"/>
    <col min="8974" max="8974" width="10.7109375" style="8" bestFit="1" customWidth="1"/>
    <col min="8975" max="9216" width="9.140625" style="8"/>
    <col min="9217" max="9217" width="52.5703125" style="8" customWidth="1"/>
    <col min="9218" max="9218" width="60" style="8" bestFit="1" customWidth="1"/>
    <col min="9219" max="9219" width="24.85546875" style="8" bestFit="1" customWidth="1"/>
    <col min="9220" max="9220" width="20.140625" style="8" customWidth="1"/>
    <col min="9221" max="9221" width="16.140625" style="8" customWidth="1"/>
    <col min="9222" max="9222" width="18" style="8" customWidth="1"/>
    <col min="9223" max="9223" width="16.5703125" style="8" customWidth="1"/>
    <col min="9224" max="9224" width="14.28515625" style="8" customWidth="1"/>
    <col min="9225" max="9225" width="22.42578125" style="8" customWidth="1"/>
    <col min="9226" max="9226" width="22.5703125" style="8" customWidth="1"/>
    <col min="9227" max="9229" width="9.28515625" style="8" bestFit="1" customWidth="1"/>
    <col min="9230" max="9230" width="10.7109375" style="8" bestFit="1" customWidth="1"/>
    <col min="9231" max="9472" width="9.140625" style="8"/>
    <col min="9473" max="9473" width="52.5703125" style="8" customWidth="1"/>
    <col min="9474" max="9474" width="60" style="8" bestFit="1" customWidth="1"/>
    <col min="9475" max="9475" width="24.85546875" style="8" bestFit="1" customWidth="1"/>
    <col min="9476" max="9476" width="20.140625" style="8" customWidth="1"/>
    <col min="9477" max="9477" width="16.140625" style="8" customWidth="1"/>
    <col min="9478" max="9478" width="18" style="8" customWidth="1"/>
    <col min="9479" max="9479" width="16.5703125" style="8" customWidth="1"/>
    <col min="9480" max="9480" width="14.28515625" style="8" customWidth="1"/>
    <col min="9481" max="9481" width="22.42578125" style="8" customWidth="1"/>
    <col min="9482" max="9482" width="22.5703125" style="8" customWidth="1"/>
    <col min="9483" max="9485" width="9.28515625" style="8" bestFit="1" customWidth="1"/>
    <col min="9486" max="9486" width="10.7109375" style="8" bestFit="1" customWidth="1"/>
    <col min="9487" max="9728" width="9.140625" style="8"/>
    <col min="9729" max="9729" width="52.5703125" style="8" customWidth="1"/>
    <col min="9730" max="9730" width="60" style="8" bestFit="1" customWidth="1"/>
    <col min="9731" max="9731" width="24.85546875" style="8" bestFit="1" customWidth="1"/>
    <col min="9732" max="9732" width="20.140625" style="8" customWidth="1"/>
    <col min="9733" max="9733" width="16.140625" style="8" customWidth="1"/>
    <col min="9734" max="9734" width="18" style="8" customWidth="1"/>
    <col min="9735" max="9735" width="16.5703125" style="8" customWidth="1"/>
    <col min="9736" max="9736" width="14.28515625" style="8" customWidth="1"/>
    <col min="9737" max="9737" width="22.42578125" style="8" customWidth="1"/>
    <col min="9738" max="9738" width="22.5703125" style="8" customWidth="1"/>
    <col min="9739" max="9741" width="9.28515625" style="8" bestFit="1" customWidth="1"/>
    <col min="9742" max="9742" width="10.7109375" style="8" bestFit="1" customWidth="1"/>
    <col min="9743" max="9984" width="9.140625" style="8"/>
    <col min="9985" max="9985" width="52.5703125" style="8" customWidth="1"/>
    <col min="9986" max="9986" width="60" style="8" bestFit="1" customWidth="1"/>
    <col min="9987" max="9987" width="24.85546875" style="8" bestFit="1" customWidth="1"/>
    <col min="9988" max="9988" width="20.140625" style="8" customWidth="1"/>
    <col min="9989" max="9989" width="16.140625" style="8" customWidth="1"/>
    <col min="9990" max="9990" width="18" style="8" customWidth="1"/>
    <col min="9991" max="9991" width="16.5703125" style="8" customWidth="1"/>
    <col min="9992" max="9992" width="14.28515625" style="8" customWidth="1"/>
    <col min="9993" max="9993" width="22.42578125" style="8" customWidth="1"/>
    <col min="9994" max="9994" width="22.5703125" style="8" customWidth="1"/>
    <col min="9995" max="9997" width="9.28515625" style="8" bestFit="1" customWidth="1"/>
    <col min="9998" max="9998" width="10.7109375" style="8" bestFit="1" customWidth="1"/>
    <col min="9999" max="10240" width="9.140625" style="8"/>
    <col min="10241" max="10241" width="52.5703125" style="8" customWidth="1"/>
    <col min="10242" max="10242" width="60" style="8" bestFit="1" customWidth="1"/>
    <col min="10243" max="10243" width="24.85546875" style="8" bestFit="1" customWidth="1"/>
    <col min="10244" max="10244" width="20.140625" style="8" customWidth="1"/>
    <col min="10245" max="10245" width="16.140625" style="8" customWidth="1"/>
    <col min="10246" max="10246" width="18" style="8" customWidth="1"/>
    <col min="10247" max="10247" width="16.5703125" style="8" customWidth="1"/>
    <col min="10248" max="10248" width="14.28515625" style="8" customWidth="1"/>
    <col min="10249" max="10249" width="22.42578125" style="8" customWidth="1"/>
    <col min="10250" max="10250" width="22.5703125" style="8" customWidth="1"/>
    <col min="10251" max="10253" width="9.28515625" style="8" bestFit="1" customWidth="1"/>
    <col min="10254" max="10254" width="10.7109375" style="8" bestFit="1" customWidth="1"/>
    <col min="10255" max="10496" width="9.140625" style="8"/>
    <col min="10497" max="10497" width="52.5703125" style="8" customWidth="1"/>
    <col min="10498" max="10498" width="60" style="8" bestFit="1" customWidth="1"/>
    <col min="10499" max="10499" width="24.85546875" style="8" bestFit="1" customWidth="1"/>
    <col min="10500" max="10500" width="20.140625" style="8" customWidth="1"/>
    <col min="10501" max="10501" width="16.140625" style="8" customWidth="1"/>
    <col min="10502" max="10502" width="18" style="8" customWidth="1"/>
    <col min="10503" max="10503" width="16.5703125" style="8" customWidth="1"/>
    <col min="10504" max="10504" width="14.28515625" style="8" customWidth="1"/>
    <col min="10505" max="10505" width="22.42578125" style="8" customWidth="1"/>
    <col min="10506" max="10506" width="22.5703125" style="8" customWidth="1"/>
    <col min="10507" max="10509" width="9.28515625" style="8" bestFit="1" customWidth="1"/>
    <col min="10510" max="10510" width="10.7109375" style="8" bestFit="1" customWidth="1"/>
    <col min="10511" max="10752" width="9.140625" style="8"/>
    <col min="10753" max="10753" width="52.5703125" style="8" customWidth="1"/>
    <col min="10754" max="10754" width="60" style="8" bestFit="1" customWidth="1"/>
    <col min="10755" max="10755" width="24.85546875" style="8" bestFit="1" customWidth="1"/>
    <col min="10756" max="10756" width="20.140625" style="8" customWidth="1"/>
    <col min="10757" max="10757" width="16.140625" style="8" customWidth="1"/>
    <col min="10758" max="10758" width="18" style="8" customWidth="1"/>
    <col min="10759" max="10759" width="16.5703125" style="8" customWidth="1"/>
    <col min="10760" max="10760" width="14.28515625" style="8" customWidth="1"/>
    <col min="10761" max="10761" width="22.42578125" style="8" customWidth="1"/>
    <col min="10762" max="10762" width="22.5703125" style="8" customWidth="1"/>
    <col min="10763" max="10765" width="9.28515625" style="8" bestFit="1" customWidth="1"/>
    <col min="10766" max="10766" width="10.7109375" style="8" bestFit="1" customWidth="1"/>
    <col min="10767" max="11008" width="9.140625" style="8"/>
    <col min="11009" max="11009" width="52.5703125" style="8" customWidth="1"/>
    <col min="11010" max="11010" width="60" style="8" bestFit="1" customWidth="1"/>
    <col min="11011" max="11011" width="24.85546875" style="8" bestFit="1" customWidth="1"/>
    <col min="11012" max="11012" width="20.140625" style="8" customWidth="1"/>
    <col min="11013" max="11013" width="16.140625" style="8" customWidth="1"/>
    <col min="11014" max="11014" width="18" style="8" customWidth="1"/>
    <col min="11015" max="11015" width="16.5703125" style="8" customWidth="1"/>
    <col min="11016" max="11016" width="14.28515625" style="8" customWidth="1"/>
    <col min="11017" max="11017" width="22.42578125" style="8" customWidth="1"/>
    <col min="11018" max="11018" width="22.5703125" style="8" customWidth="1"/>
    <col min="11019" max="11021" width="9.28515625" style="8" bestFit="1" customWidth="1"/>
    <col min="11022" max="11022" width="10.7109375" style="8" bestFit="1" customWidth="1"/>
    <col min="11023" max="11264" width="9.140625" style="8"/>
    <col min="11265" max="11265" width="52.5703125" style="8" customWidth="1"/>
    <col min="11266" max="11266" width="60" style="8" bestFit="1" customWidth="1"/>
    <col min="11267" max="11267" width="24.85546875" style="8" bestFit="1" customWidth="1"/>
    <col min="11268" max="11268" width="20.140625" style="8" customWidth="1"/>
    <col min="11269" max="11269" width="16.140625" style="8" customWidth="1"/>
    <col min="11270" max="11270" width="18" style="8" customWidth="1"/>
    <col min="11271" max="11271" width="16.5703125" style="8" customWidth="1"/>
    <col min="11272" max="11272" width="14.28515625" style="8" customWidth="1"/>
    <col min="11273" max="11273" width="22.42578125" style="8" customWidth="1"/>
    <col min="11274" max="11274" width="22.5703125" style="8" customWidth="1"/>
    <col min="11275" max="11277" width="9.28515625" style="8" bestFit="1" customWidth="1"/>
    <col min="11278" max="11278" width="10.7109375" style="8" bestFit="1" customWidth="1"/>
    <col min="11279" max="11520" width="9.140625" style="8"/>
    <col min="11521" max="11521" width="52.5703125" style="8" customWidth="1"/>
    <col min="11522" max="11522" width="60" style="8" bestFit="1" customWidth="1"/>
    <col min="11523" max="11523" width="24.85546875" style="8" bestFit="1" customWidth="1"/>
    <col min="11524" max="11524" width="20.140625" style="8" customWidth="1"/>
    <col min="11525" max="11525" width="16.140625" style="8" customWidth="1"/>
    <col min="11526" max="11526" width="18" style="8" customWidth="1"/>
    <col min="11527" max="11527" width="16.5703125" style="8" customWidth="1"/>
    <col min="11528" max="11528" width="14.28515625" style="8" customWidth="1"/>
    <col min="11529" max="11529" width="22.42578125" style="8" customWidth="1"/>
    <col min="11530" max="11530" width="22.5703125" style="8" customWidth="1"/>
    <col min="11531" max="11533" width="9.28515625" style="8" bestFit="1" customWidth="1"/>
    <col min="11534" max="11534" width="10.7109375" style="8" bestFit="1" customWidth="1"/>
    <col min="11535" max="11776" width="9.140625" style="8"/>
    <col min="11777" max="11777" width="52.5703125" style="8" customWidth="1"/>
    <col min="11778" max="11778" width="60" style="8" bestFit="1" customWidth="1"/>
    <col min="11779" max="11779" width="24.85546875" style="8" bestFit="1" customWidth="1"/>
    <col min="11780" max="11780" width="20.140625" style="8" customWidth="1"/>
    <col min="11781" max="11781" width="16.140625" style="8" customWidth="1"/>
    <col min="11782" max="11782" width="18" style="8" customWidth="1"/>
    <col min="11783" max="11783" width="16.5703125" style="8" customWidth="1"/>
    <col min="11784" max="11784" width="14.28515625" style="8" customWidth="1"/>
    <col min="11785" max="11785" width="22.42578125" style="8" customWidth="1"/>
    <col min="11786" max="11786" width="22.5703125" style="8" customWidth="1"/>
    <col min="11787" max="11789" width="9.28515625" style="8" bestFit="1" customWidth="1"/>
    <col min="11790" max="11790" width="10.7109375" style="8" bestFit="1" customWidth="1"/>
    <col min="11791" max="12032" width="9.140625" style="8"/>
    <col min="12033" max="12033" width="52.5703125" style="8" customWidth="1"/>
    <col min="12034" max="12034" width="60" style="8" bestFit="1" customWidth="1"/>
    <col min="12035" max="12035" width="24.85546875" style="8" bestFit="1" customWidth="1"/>
    <col min="12036" max="12036" width="20.140625" style="8" customWidth="1"/>
    <col min="12037" max="12037" width="16.140625" style="8" customWidth="1"/>
    <col min="12038" max="12038" width="18" style="8" customWidth="1"/>
    <col min="12039" max="12039" width="16.5703125" style="8" customWidth="1"/>
    <col min="12040" max="12040" width="14.28515625" style="8" customWidth="1"/>
    <col min="12041" max="12041" width="22.42578125" style="8" customWidth="1"/>
    <col min="12042" max="12042" width="22.5703125" style="8" customWidth="1"/>
    <col min="12043" max="12045" width="9.28515625" style="8" bestFit="1" customWidth="1"/>
    <col min="12046" max="12046" width="10.7109375" style="8" bestFit="1" customWidth="1"/>
    <col min="12047" max="12288" width="9.140625" style="8"/>
    <col min="12289" max="12289" width="52.5703125" style="8" customWidth="1"/>
    <col min="12290" max="12290" width="60" style="8" bestFit="1" customWidth="1"/>
    <col min="12291" max="12291" width="24.85546875" style="8" bestFit="1" customWidth="1"/>
    <col min="12292" max="12292" width="20.140625" style="8" customWidth="1"/>
    <col min="12293" max="12293" width="16.140625" style="8" customWidth="1"/>
    <col min="12294" max="12294" width="18" style="8" customWidth="1"/>
    <col min="12295" max="12295" width="16.5703125" style="8" customWidth="1"/>
    <col min="12296" max="12296" width="14.28515625" style="8" customWidth="1"/>
    <col min="12297" max="12297" width="22.42578125" style="8" customWidth="1"/>
    <col min="12298" max="12298" width="22.5703125" style="8" customWidth="1"/>
    <col min="12299" max="12301" width="9.28515625" style="8" bestFit="1" customWidth="1"/>
    <col min="12302" max="12302" width="10.7109375" style="8" bestFit="1" customWidth="1"/>
    <col min="12303" max="12544" width="9.140625" style="8"/>
    <col min="12545" max="12545" width="52.5703125" style="8" customWidth="1"/>
    <col min="12546" max="12546" width="60" style="8" bestFit="1" customWidth="1"/>
    <col min="12547" max="12547" width="24.85546875" style="8" bestFit="1" customWidth="1"/>
    <col min="12548" max="12548" width="20.140625" style="8" customWidth="1"/>
    <col min="12549" max="12549" width="16.140625" style="8" customWidth="1"/>
    <col min="12550" max="12550" width="18" style="8" customWidth="1"/>
    <col min="12551" max="12551" width="16.5703125" style="8" customWidth="1"/>
    <col min="12552" max="12552" width="14.28515625" style="8" customWidth="1"/>
    <col min="12553" max="12553" width="22.42578125" style="8" customWidth="1"/>
    <col min="12554" max="12554" width="22.5703125" style="8" customWidth="1"/>
    <col min="12555" max="12557" width="9.28515625" style="8" bestFit="1" customWidth="1"/>
    <col min="12558" max="12558" width="10.7109375" style="8" bestFit="1" customWidth="1"/>
    <col min="12559" max="12800" width="9.140625" style="8"/>
    <col min="12801" max="12801" width="52.5703125" style="8" customWidth="1"/>
    <col min="12802" max="12802" width="60" style="8" bestFit="1" customWidth="1"/>
    <col min="12803" max="12803" width="24.85546875" style="8" bestFit="1" customWidth="1"/>
    <col min="12804" max="12804" width="20.140625" style="8" customWidth="1"/>
    <col min="12805" max="12805" width="16.140625" style="8" customWidth="1"/>
    <col min="12806" max="12806" width="18" style="8" customWidth="1"/>
    <col min="12807" max="12807" width="16.5703125" style="8" customWidth="1"/>
    <col min="12808" max="12808" width="14.28515625" style="8" customWidth="1"/>
    <col min="12809" max="12809" width="22.42578125" style="8" customWidth="1"/>
    <col min="12810" max="12810" width="22.5703125" style="8" customWidth="1"/>
    <col min="12811" max="12813" width="9.28515625" style="8" bestFit="1" customWidth="1"/>
    <col min="12814" max="12814" width="10.7109375" style="8" bestFit="1" customWidth="1"/>
    <col min="12815" max="13056" width="9.140625" style="8"/>
    <col min="13057" max="13057" width="52.5703125" style="8" customWidth="1"/>
    <col min="13058" max="13058" width="60" style="8" bestFit="1" customWidth="1"/>
    <col min="13059" max="13059" width="24.85546875" style="8" bestFit="1" customWidth="1"/>
    <col min="13060" max="13060" width="20.140625" style="8" customWidth="1"/>
    <col min="13061" max="13061" width="16.140625" style="8" customWidth="1"/>
    <col min="13062" max="13062" width="18" style="8" customWidth="1"/>
    <col min="13063" max="13063" width="16.5703125" style="8" customWidth="1"/>
    <col min="13064" max="13064" width="14.28515625" style="8" customWidth="1"/>
    <col min="13065" max="13065" width="22.42578125" style="8" customWidth="1"/>
    <col min="13066" max="13066" width="22.5703125" style="8" customWidth="1"/>
    <col min="13067" max="13069" width="9.28515625" style="8" bestFit="1" customWidth="1"/>
    <col min="13070" max="13070" width="10.7109375" style="8" bestFit="1" customWidth="1"/>
    <col min="13071" max="13312" width="9.140625" style="8"/>
    <col min="13313" max="13313" width="52.5703125" style="8" customWidth="1"/>
    <col min="13314" max="13314" width="60" style="8" bestFit="1" customWidth="1"/>
    <col min="13315" max="13315" width="24.85546875" style="8" bestFit="1" customWidth="1"/>
    <col min="13316" max="13316" width="20.140625" style="8" customWidth="1"/>
    <col min="13317" max="13317" width="16.140625" style="8" customWidth="1"/>
    <col min="13318" max="13318" width="18" style="8" customWidth="1"/>
    <col min="13319" max="13319" width="16.5703125" style="8" customWidth="1"/>
    <col min="13320" max="13320" width="14.28515625" style="8" customWidth="1"/>
    <col min="13321" max="13321" width="22.42578125" style="8" customWidth="1"/>
    <col min="13322" max="13322" width="22.5703125" style="8" customWidth="1"/>
    <col min="13323" max="13325" width="9.28515625" style="8" bestFit="1" customWidth="1"/>
    <col min="13326" max="13326" width="10.7109375" style="8" bestFit="1" customWidth="1"/>
    <col min="13327" max="13568" width="9.140625" style="8"/>
    <col min="13569" max="13569" width="52.5703125" style="8" customWidth="1"/>
    <col min="13570" max="13570" width="60" style="8" bestFit="1" customWidth="1"/>
    <col min="13571" max="13571" width="24.85546875" style="8" bestFit="1" customWidth="1"/>
    <col min="13572" max="13572" width="20.140625" style="8" customWidth="1"/>
    <col min="13573" max="13573" width="16.140625" style="8" customWidth="1"/>
    <col min="13574" max="13574" width="18" style="8" customWidth="1"/>
    <col min="13575" max="13575" width="16.5703125" style="8" customWidth="1"/>
    <col min="13576" max="13576" width="14.28515625" style="8" customWidth="1"/>
    <col min="13577" max="13577" width="22.42578125" style="8" customWidth="1"/>
    <col min="13578" max="13578" width="22.5703125" style="8" customWidth="1"/>
    <col min="13579" max="13581" width="9.28515625" style="8" bestFit="1" customWidth="1"/>
    <col min="13582" max="13582" width="10.7109375" style="8" bestFit="1" customWidth="1"/>
    <col min="13583" max="13824" width="9.140625" style="8"/>
    <col min="13825" max="13825" width="52.5703125" style="8" customWidth="1"/>
    <col min="13826" max="13826" width="60" style="8" bestFit="1" customWidth="1"/>
    <col min="13827" max="13827" width="24.85546875" style="8" bestFit="1" customWidth="1"/>
    <col min="13828" max="13828" width="20.140625" style="8" customWidth="1"/>
    <col min="13829" max="13829" width="16.140625" style="8" customWidth="1"/>
    <col min="13830" max="13830" width="18" style="8" customWidth="1"/>
    <col min="13831" max="13831" width="16.5703125" style="8" customWidth="1"/>
    <col min="13832" max="13832" width="14.28515625" style="8" customWidth="1"/>
    <col min="13833" max="13833" width="22.42578125" style="8" customWidth="1"/>
    <col min="13834" max="13834" width="22.5703125" style="8" customWidth="1"/>
    <col min="13835" max="13837" width="9.28515625" style="8" bestFit="1" customWidth="1"/>
    <col min="13838" max="13838" width="10.7109375" style="8" bestFit="1" customWidth="1"/>
    <col min="13839" max="14080" width="9.140625" style="8"/>
    <col min="14081" max="14081" width="52.5703125" style="8" customWidth="1"/>
    <col min="14082" max="14082" width="60" style="8" bestFit="1" customWidth="1"/>
    <col min="14083" max="14083" width="24.85546875" style="8" bestFit="1" customWidth="1"/>
    <col min="14084" max="14084" width="20.140625" style="8" customWidth="1"/>
    <col min="14085" max="14085" width="16.140625" style="8" customWidth="1"/>
    <col min="14086" max="14086" width="18" style="8" customWidth="1"/>
    <col min="14087" max="14087" width="16.5703125" style="8" customWidth="1"/>
    <col min="14088" max="14088" width="14.28515625" style="8" customWidth="1"/>
    <col min="14089" max="14089" width="22.42578125" style="8" customWidth="1"/>
    <col min="14090" max="14090" width="22.5703125" style="8" customWidth="1"/>
    <col min="14091" max="14093" width="9.28515625" style="8" bestFit="1" customWidth="1"/>
    <col min="14094" max="14094" width="10.7109375" style="8" bestFit="1" customWidth="1"/>
    <col min="14095" max="14336" width="9.140625" style="8"/>
    <col min="14337" max="14337" width="52.5703125" style="8" customWidth="1"/>
    <col min="14338" max="14338" width="60" style="8" bestFit="1" customWidth="1"/>
    <col min="14339" max="14339" width="24.85546875" style="8" bestFit="1" customWidth="1"/>
    <col min="14340" max="14340" width="20.140625" style="8" customWidth="1"/>
    <col min="14341" max="14341" width="16.140625" style="8" customWidth="1"/>
    <col min="14342" max="14342" width="18" style="8" customWidth="1"/>
    <col min="14343" max="14343" width="16.5703125" style="8" customWidth="1"/>
    <col min="14344" max="14344" width="14.28515625" style="8" customWidth="1"/>
    <col min="14345" max="14345" width="22.42578125" style="8" customWidth="1"/>
    <col min="14346" max="14346" width="22.5703125" style="8" customWidth="1"/>
    <col min="14347" max="14349" width="9.28515625" style="8" bestFit="1" customWidth="1"/>
    <col min="14350" max="14350" width="10.7109375" style="8" bestFit="1" customWidth="1"/>
    <col min="14351" max="14592" width="9.140625" style="8"/>
    <col min="14593" max="14593" width="52.5703125" style="8" customWidth="1"/>
    <col min="14594" max="14594" width="60" style="8" bestFit="1" customWidth="1"/>
    <col min="14595" max="14595" width="24.85546875" style="8" bestFit="1" customWidth="1"/>
    <col min="14596" max="14596" width="20.140625" style="8" customWidth="1"/>
    <col min="14597" max="14597" width="16.140625" style="8" customWidth="1"/>
    <col min="14598" max="14598" width="18" style="8" customWidth="1"/>
    <col min="14599" max="14599" width="16.5703125" style="8" customWidth="1"/>
    <col min="14600" max="14600" width="14.28515625" style="8" customWidth="1"/>
    <col min="14601" max="14601" width="22.42578125" style="8" customWidth="1"/>
    <col min="14602" max="14602" width="22.5703125" style="8" customWidth="1"/>
    <col min="14603" max="14605" width="9.28515625" style="8" bestFit="1" customWidth="1"/>
    <col min="14606" max="14606" width="10.7109375" style="8" bestFit="1" customWidth="1"/>
    <col min="14607" max="14848" width="9.140625" style="8"/>
    <col min="14849" max="14849" width="52.5703125" style="8" customWidth="1"/>
    <col min="14850" max="14850" width="60" style="8" bestFit="1" customWidth="1"/>
    <col min="14851" max="14851" width="24.85546875" style="8" bestFit="1" customWidth="1"/>
    <col min="14852" max="14852" width="20.140625" style="8" customWidth="1"/>
    <col min="14853" max="14853" width="16.140625" style="8" customWidth="1"/>
    <col min="14854" max="14854" width="18" style="8" customWidth="1"/>
    <col min="14855" max="14855" width="16.5703125" style="8" customWidth="1"/>
    <col min="14856" max="14856" width="14.28515625" style="8" customWidth="1"/>
    <col min="14857" max="14857" width="22.42578125" style="8" customWidth="1"/>
    <col min="14858" max="14858" width="22.5703125" style="8" customWidth="1"/>
    <col min="14859" max="14861" width="9.28515625" style="8" bestFit="1" customWidth="1"/>
    <col min="14862" max="14862" width="10.7109375" style="8" bestFit="1" customWidth="1"/>
    <col min="14863" max="15104" width="9.140625" style="8"/>
    <col min="15105" max="15105" width="52.5703125" style="8" customWidth="1"/>
    <col min="15106" max="15106" width="60" style="8" bestFit="1" customWidth="1"/>
    <col min="15107" max="15107" width="24.85546875" style="8" bestFit="1" customWidth="1"/>
    <col min="15108" max="15108" width="20.140625" style="8" customWidth="1"/>
    <col min="15109" max="15109" width="16.140625" style="8" customWidth="1"/>
    <col min="15110" max="15110" width="18" style="8" customWidth="1"/>
    <col min="15111" max="15111" width="16.5703125" style="8" customWidth="1"/>
    <col min="15112" max="15112" width="14.28515625" style="8" customWidth="1"/>
    <col min="15113" max="15113" width="22.42578125" style="8" customWidth="1"/>
    <col min="15114" max="15114" width="22.5703125" style="8" customWidth="1"/>
    <col min="15115" max="15117" width="9.28515625" style="8" bestFit="1" customWidth="1"/>
    <col min="15118" max="15118" width="10.7109375" style="8" bestFit="1" customWidth="1"/>
    <col min="15119" max="15360" width="9.140625" style="8"/>
    <col min="15361" max="15361" width="52.5703125" style="8" customWidth="1"/>
    <col min="15362" max="15362" width="60" style="8" bestFit="1" customWidth="1"/>
    <col min="15363" max="15363" width="24.85546875" style="8" bestFit="1" customWidth="1"/>
    <col min="15364" max="15364" width="20.140625" style="8" customWidth="1"/>
    <col min="15365" max="15365" width="16.140625" style="8" customWidth="1"/>
    <col min="15366" max="15366" width="18" style="8" customWidth="1"/>
    <col min="15367" max="15367" width="16.5703125" style="8" customWidth="1"/>
    <col min="15368" max="15368" width="14.28515625" style="8" customWidth="1"/>
    <col min="15369" max="15369" width="22.42578125" style="8" customWidth="1"/>
    <col min="15370" max="15370" width="22.5703125" style="8" customWidth="1"/>
    <col min="15371" max="15373" width="9.28515625" style="8" bestFit="1" customWidth="1"/>
    <col min="15374" max="15374" width="10.7109375" style="8" bestFit="1" customWidth="1"/>
    <col min="15375" max="15616" width="9.140625" style="8"/>
    <col min="15617" max="15617" width="52.5703125" style="8" customWidth="1"/>
    <col min="15618" max="15618" width="60" style="8" bestFit="1" customWidth="1"/>
    <col min="15619" max="15619" width="24.85546875" style="8" bestFit="1" customWidth="1"/>
    <col min="15620" max="15620" width="20.140625" style="8" customWidth="1"/>
    <col min="15621" max="15621" width="16.140625" style="8" customWidth="1"/>
    <col min="15622" max="15622" width="18" style="8" customWidth="1"/>
    <col min="15623" max="15623" width="16.5703125" style="8" customWidth="1"/>
    <col min="15624" max="15624" width="14.28515625" style="8" customWidth="1"/>
    <col min="15625" max="15625" width="22.42578125" style="8" customWidth="1"/>
    <col min="15626" max="15626" width="22.5703125" style="8" customWidth="1"/>
    <col min="15627" max="15629" width="9.28515625" style="8" bestFit="1" customWidth="1"/>
    <col min="15630" max="15630" width="10.7109375" style="8" bestFit="1" customWidth="1"/>
    <col min="15631" max="15872" width="9.140625" style="8"/>
    <col min="15873" max="15873" width="52.5703125" style="8" customWidth="1"/>
    <col min="15874" max="15874" width="60" style="8" bestFit="1" customWidth="1"/>
    <col min="15875" max="15875" width="24.85546875" style="8" bestFit="1" customWidth="1"/>
    <col min="15876" max="15876" width="20.140625" style="8" customWidth="1"/>
    <col min="15877" max="15877" width="16.140625" style="8" customWidth="1"/>
    <col min="15878" max="15878" width="18" style="8" customWidth="1"/>
    <col min="15879" max="15879" width="16.5703125" style="8" customWidth="1"/>
    <col min="15880" max="15880" width="14.28515625" style="8" customWidth="1"/>
    <col min="15881" max="15881" width="22.42578125" style="8" customWidth="1"/>
    <col min="15882" max="15882" width="22.5703125" style="8" customWidth="1"/>
    <col min="15883" max="15885" width="9.28515625" style="8" bestFit="1" customWidth="1"/>
    <col min="15886" max="15886" width="10.7109375" style="8" bestFit="1" customWidth="1"/>
    <col min="15887" max="16128" width="9.140625" style="8"/>
    <col min="16129" max="16129" width="52.5703125" style="8" customWidth="1"/>
    <col min="16130" max="16130" width="60" style="8" bestFit="1" customWidth="1"/>
    <col min="16131" max="16131" width="24.85546875" style="8" bestFit="1" customWidth="1"/>
    <col min="16132" max="16132" width="20.140625" style="8" customWidth="1"/>
    <col min="16133" max="16133" width="16.140625" style="8" customWidth="1"/>
    <col min="16134" max="16134" width="18" style="8" customWidth="1"/>
    <col min="16135" max="16135" width="16.5703125" style="8" customWidth="1"/>
    <col min="16136" max="16136" width="14.28515625" style="8" customWidth="1"/>
    <col min="16137" max="16137" width="22.42578125" style="8" customWidth="1"/>
    <col min="16138" max="16138" width="22.5703125" style="8" customWidth="1"/>
    <col min="16139" max="16141" width="9.28515625" style="8" bestFit="1" customWidth="1"/>
    <col min="16142" max="16142" width="10.7109375" style="8" bestFit="1" customWidth="1"/>
    <col min="16143" max="16384" width="9.140625" style="8"/>
  </cols>
  <sheetData>
    <row r="1" spans="1:15" ht="15" x14ac:dyDescent="0.25">
      <c r="A1" s="229"/>
      <c r="B1" s="230"/>
      <c r="C1" s="231"/>
      <c r="D1" s="232"/>
      <c r="E1" s="13" t="s">
        <v>948</v>
      </c>
    </row>
    <row r="2" spans="1:15" x14ac:dyDescent="0.2">
      <c r="A2" s="229"/>
      <c r="B2" s="230"/>
      <c r="C2" s="231"/>
      <c r="D2" s="232"/>
      <c r="E2" s="232"/>
    </row>
    <row r="3" spans="1:15" ht="16.5" x14ac:dyDescent="0.25">
      <c r="A3" s="652" t="s">
        <v>950</v>
      </c>
      <c r="B3" s="652"/>
      <c r="C3" s="652"/>
      <c r="D3" s="652"/>
      <c r="E3" s="652"/>
    </row>
    <row r="4" spans="1:15" x14ac:dyDescent="0.2">
      <c r="A4" s="229"/>
      <c r="B4" s="230"/>
      <c r="C4" s="231"/>
      <c r="D4" s="232"/>
      <c r="E4" s="232"/>
    </row>
    <row r="5" spans="1:15" x14ac:dyDescent="0.2">
      <c r="A5" s="229"/>
      <c r="B5" s="230"/>
      <c r="C5" s="231"/>
      <c r="D5" s="232"/>
      <c r="E5" s="232" t="s">
        <v>300</v>
      </c>
    </row>
    <row r="6" spans="1:15" ht="13.5" thickBot="1" x14ac:dyDescent="0.25">
      <c r="A6" s="230"/>
      <c r="B6" s="233"/>
      <c r="C6" s="234"/>
      <c r="D6" s="235"/>
      <c r="E6" s="236">
        <v>1</v>
      </c>
    </row>
    <row r="7" spans="1:15" ht="12.75" customHeight="1" x14ac:dyDescent="0.2">
      <c r="A7" s="653" t="s">
        <v>301</v>
      </c>
      <c r="B7" s="655" t="s">
        <v>302</v>
      </c>
      <c r="C7" s="657" t="s">
        <v>303</v>
      </c>
      <c r="D7" s="659" t="s">
        <v>304</v>
      </c>
      <c r="E7" s="661" t="s">
        <v>305</v>
      </c>
      <c r="F7" s="237" t="s">
        <v>306</v>
      </c>
      <c r="G7" s="238">
        <v>0.03</v>
      </c>
    </row>
    <row r="8" spans="1:15" ht="13.5" thickBot="1" x14ac:dyDescent="0.25">
      <c r="A8" s="654"/>
      <c r="B8" s="656"/>
      <c r="C8" s="658"/>
      <c r="D8" s="660"/>
      <c r="E8" s="662"/>
      <c r="F8" s="237"/>
    </row>
    <row r="9" spans="1:15" s="244" customFormat="1" x14ac:dyDescent="0.2">
      <c r="A9" s="239" t="s">
        <v>307</v>
      </c>
      <c r="B9" s="240" t="s">
        <v>308</v>
      </c>
      <c r="C9" s="241"/>
      <c r="D9" s="242">
        <f>598170+14986000</f>
        <v>15584170</v>
      </c>
      <c r="E9" s="243">
        <v>2614295</v>
      </c>
    </row>
    <row r="10" spans="1:15" s="244" customFormat="1" x14ac:dyDescent="0.2">
      <c r="A10" s="245" t="s">
        <v>309</v>
      </c>
      <c r="B10" s="246" t="s">
        <v>310</v>
      </c>
      <c r="C10" s="247" t="s">
        <v>311</v>
      </c>
      <c r="D10" s="248">
        <f>E10</f>
        <v>2472741</v>
      </c>
      <c r="E10" s="249">
        <v>2472741</v>
      </c>
      <c r="G10" s="250"/>
      <c r="H10" s="250"/>
      <c r="I10" s="250"/>
      <c r="J10" s="250"/>
      <c r="K10" s="250"/>
      <c r="L10" s="250"/>
      <c r="M10" s="250"/>
      <c r="N10" s="250"/>
      <c r="O10" s="250"/>
    </row>
    <row r="11" spans="1:15" s="244" customFormat="1" x14ac:dyDescent="0.2">
      <c r="A11" s="245" t="s">
        <v>312</v>
      </c>
      <c r="B11" s="251" t="s">
        <v>313</v>
      </c>
      <c r="C11" s="247" t="s">
        <v>314</v>
      </c>
      <c r="D11" s="248">
        <f>E11</f>
        <v>2213508</v>
      </c>
      <c r="E11" s="249">
        <v>2213508</v>
      </c>
      <c r="G11" s="250"/>
      <c r="H11" s="250"/>
      <c r="I11" s="250"/>
      <c r="J11" s="250"/>
      <c r="K11" s="250"/>
      <c r="L11" s="250"/>
      <c r="M11" s="250"/>
      <c r="N11" s="250"/>
      <c r="O11" s="250"/>
    </row>
    <row r="12" spans="1:15" s="253" customFormat="1" x14ac:dyDescent="0.2">
      <c r="A12" s="252" t="s">
        <v>315</v>
      </c>
      <c r="B12" s="251" t="s">
        <v>316</v>
      </c>
      <c r="C12" s="247" t="s">
        <v>311</v>
      </c>
      <c r="D12" s="248">
        <f>E12</f>
        <v>221880</v>
      </c>
      <c r="E12" s="249">
        <v>221880</v>
      </c>
      <c r="G12" s="254"/>
      <c r="H12" s="254"/>
      <c r="I12" s="254"/>
      <c r="J12" s="254"/>
      <c r="K12" s="254"/>
      <c r="L12" s="254"/>
      <c r="M12" s="254"/>
      <c r="N12" s="254"/>
      <c r="O12" s="254"/>
    </row>
    <row r="13" spans="1:15" s="244" customFormat="1" x14ac:dyDescent="0.2">
      <c r="A13" s="255" t="s">
        <v>317</v>
      </c>
      <c r="B13" s="256" t="s">
        <v>318</v>
      </c>
      <c r="C13" s="257" t="s">
        <v>311</v>
      </c>
      <c r="D13" s="258">
        <f>E13</f>
        <v>2748072</v>
      </c>
      <c r="E13" s="259">
        <v>2748072</v>
      </c>
      <c r="G13" s="250"/>
      <c r="H13" s="250"/>
      <c r="I13" s="250"/>
      <c r="J13" s="250"/>
      <c r="K13" s="250"/>
      <c r="L13" s="250"/>
      <c r="M13" s="250"/>
      <c r="N13" s="250"/>
      <c r="O13" s="250"/>
    </row>
    <row r="14" spans="1:15" s="253" customFormat="1" x14ac:dyDescent="0.2">
      <c r="A14" s="260" t="s">
        <v>319</v>
      </c>
      <c r="B14" s="261" t="s">
        <v>320</v>
      </c>
      <c r="C14" s="262" t="s">
        <v>321</v>
      </c>
      <c r="D14" s="263">
        <v>40000</v>
      </c>
      <c r="E14" s="264">
        <v>440000</v>
      </c>
      <c r="G14" s="254"/>
      <c r="H14" s="254"/>
      <c r="I14" s="254"/>
      <c r="J14" s="254"/>
      <c r="K14" s="254"/>
      <c r="L14" s="254"/>
      <c r="M14" s="254"/>
      <c r="N14" s="254"/>
      <c r="O14" s="254"/>
    </row>
    <row r="15" spans="1:15" s="253" customFormat="1" x14ac:dyDescent="0.2">
      <c r="A15" s="260" t="s">
        <v>322</v>
      </c>
      <c r="B15" s="261" t="s">
        <v>323</v>
      </c>
      <c r="C15" s="262">
        <v>44926</v>
      </c>
      <c r="D15" s="263"/>
      <c r="E15" s="264">
        <v>1247000</v>
      </c>
      <c r="G15" s="254"/>
      <c r="H15" s="254"/>
      <c r="I15" s="254"/>
      <c r="J15" s="254"/>
      <c r="K15" s="254"/>
      <c r="L15" s="254"/>
      <c r="M15" s="254"/>
      <c r="N15" s="254"/>
      <c r="O15" s="254"/>
    </row>
    <row r="16" spans="1:15" s="244" customFormat="1" ht="25.5" x14ac:dyDescent="0.2">
      <c r="A16" s="252" t="s">
        <v>324</v>
      </c>
      <c r="B16" s="265" t="s">
        <v>325</v>
      </c>
      <c r="C16" s="257">
        <v>44661</v>
      </c>
      <c r="D16" s="258">
        <v>48251693</v>
      </c>
      <c r="E16" s="259">
        <v>19778687</v>
      </c>
      <c r="G16" s="250"/>
      <c r="H16" s="250"/>
      <c r="I16" s="250"/>
      <c r="J16" s="250"/>
      <c r="K16" s="250"/>
      <c r="L16" s="250"/>
      <c r="M16" s="250"/>
      <c r="N16" s="250"/>
      <c r="O16" s="250"/>
    </row>
    <row r="17" spans="1:15" s="244" customFormat="1" ht="25.5" x14ac:dyDescent="0.2">
      <c r="A17" s="252" t="s">
        <v>324</v>
      </c>
      <c r="B17" s="266" t="s">
        <v>326</v>
      </c>
      <c r="C17" s="257">
        <v>44661</v>
      </c>
      <c r="D17" s="258">
        <v>11165477</v>
      </c>
      <c r="E17" s="259">
        <v>0</v>
      </c>
      <c r="F17" s="250"/>
      <c r="G17" s="250"/>
      <c r="H17" s="250"/>
      <c r="I17" s="250"/>
      <c r="J17" s="250"/>
      <c r="K17" s="250"/>
      <c r="L17" s="250"/>
      <c r="M17" s="250"/>
      <c r="N17" s="250"/>
      <c r="O17" s="250"/>
    </row>
    <row r="18" spans="1:15" s="244" customFormat="1" ht="25.5" x14ac:dyDescent="0.2">
      <c r="A18" s="252" t="s">
        <v>324</v>
      </c>
      <c r="B18" s="266" t="s">
        <v>327</v>
      </c>
      <c r="C18" s="257" t="s">
        <v>328</v>
      </c>
      <c r="D18" s="258">
        <f>271977410-E18</f>
        <v>57093743</v>
      </c>
      <c r="E18" s="259">
        <v>214883667</v>
      </c>
      <c r="G18" s="250"/>
      <c r="H18" s="250"/>
      <c r="I18" s="250"/>
      <c r="J18" s="250"/>
      <c r="K18" s="250"/>
      <c r="L18" s="250"/>
      <c r="M18" s="250"/>
      <c r="N18" s="250"/>
      <c r="O18" s="250"/>
    </row>
    <row r="19" spans="1:15" s="244" customFormat="1" ht="25.5" x14ac:dyDescent="0.2">
      <c r="A19" s="252" t="s">
        <v>324</v>
      </c>
      <c r="B19" s="266" t="s">
        <v>329</v>
      </c>
      <c r="C19" s="257" t="s">
        <v>328</v>
      </c>
      <c r="D19" s="258">
        <f>136283817-E19</f>
        <v>28864398</v>
      </c>
      <c r="E19" s="259">
        <v>107419419</v>
      </c>
      <c r="F19" s="250"/>
      <c r="G19" s="250"/>
      <c r="H19" s="250"/>
      <c r="I19" s="250"/>
      <c r="J19" s="250"/>
      <c r="K19" s="250"/>
      <c r="L19" s="250"/>
      <c r="M19" s="250"/>
      <c r="N19" s="250"/>
      <c r="O19" s="250"/>
    </row>
    <row r="20" spans="1:15" s="244" customFormat="1" ht="38.25" x14ac:dyDescent="0.2">
      <c r="A20" s="255" t="s">
        <v>330</v>
      </c>
      <c r="B20" s="265" t="s">
        <v>331</v>
      </c>
      <c r="C20" s="257" t="s">
        <v>311</v>
      </c>
      <c r="D20" s="258">
        <f t="shared" ref="D20:D22" si="0">E20</f>
        <v>1287346</v>
      </c>
      <c r="E20" s="259">
        <v>1287346</v>
      </c>
      <c r="G20" s="250"/>
      <c r="H20" s="250"/>
      <c r="I20" s="250"/>
      <c r="J20" s="250"/>
      <c r="K20" s="250"/>
      <c r="L20" s="250"/>
      <c r="M20" s="250"/>
      <c r="N20" s="250"/>
      <c r="O20" s="250"/>
    </row>
    <row r="21" spans="1:15" s="244" customFormat="1" x14ac:dyDescent="0.2">
      <c r="A21" s="255" t="s">
        <v>330</v>
      </c>
      <c r="B21" s="256" t="s">
        <v>332</v>
      </c>
      <c r="C21" s="257" t="s">
        <v>311</v>
      </c>
      <c r="D21" s="258">
        <f t="shared" si="0"/>
        <v>529863</v>
      </c>
      <c r="E21" s="259">
        <v>529863</v>
      </c>
      <c r="G21" s="250"/>
      <c r="H21" s="250"/>
      <c r="I21" s="250"/>
      <c r="J21" s="250"/>
      <c r="K21" s="250"/>
      <c r="L21" s="250"/>
      <c r="M21" s="250"/>
      <c r="N21" s="250"/>
      <c r="O21" s="250"/>
    </row>
    <row r="22" spans="1:15" s="244" customFormat="1" x14ac:dyDescent="0.2">
      <c r="A22" s="255" t="s">
        <v>330</v>
      </c>
      <c r="B22" s="256" t="s">
        <v>333</v>
      </c>
      <c r="C22" s="257" t="s">
        <v>311</v>
      </c>
      <c r="D22" s="258">
        <f t="shared" si="0"/>
        <v>1287346</v>
      </c>
      <c r="E22" s="259">
        <v>1287346</v>
      </c>
      <c r="G22" s="250"/>
      <c r="H22" s="250"/>
      <c r="I22" s="250"/>
      <c r="J22" s="250"/>
      <c r="K22" s="250"/>
      <c r="L22" s="250"/>
      <c r="M22" s="250"/>
      <c r="N22" s="250"/>
      <c r="O22" s="250"/>
    </row>
    <row r="23" spans="1:15" s="244" customFormat="1" x14ac:dyDescent="0.2">
      <c r="A23" s="255" t="s">
        <v>330</v>
      </c>
      <c r="B23" s="256" t="s">
        <v>334</v>
      </c>
      <c r="C23" s="257" t="s">
        <v>311</v>
      </c>
      <c r="D23" s="258">
        <f>E23</f>
        <v>78268</v>
      </c>
      <c r="E23" s="259">
        <v>78268</v>
      </c>
      <c r="G23" s="250"/>
      <c r="H23" s="250"/>
      <c r="I23" s="250"/>
      <c r="J23" s="250"/>
      <c r="K23" s="250"/>
      <c r="L23" s="250"/>
      <c r="M23" s="250"/>
      <c r="N23" s="250"/>
      <c r="O23" s="250"/>
    </row>
    <row r="24" spans="1:15" s="244" customFormat="1" ht="25.5" x14ac:dyDescent="0.2">
      <c r="A24" s="255" t="s">
        <v>335</v>
      </c>
      <c r="B24" s="265" t="s">
        <v>336</v>
      </c>
      <c r="C24" s="257" t="s">
        <v>337</v>
      </c>
      <c r="D24" s="258">
        <v>2794000</v>
      </c>
      <c r="E24" s="259">
        <v>0</v>
      </c>
      <c r="G24" s="250"/>
      <c r="H24" s="250"/>
      <c r="I24" s="250"/>
      <c r="J24" s="250"/>
      <c r="K24" s="250"/>
      <c r="L24" s="250"/>
      <c r="M24" s="250"/>
      <c r="N24" s="250"/>
      <c r="O24" s="250"/>
    </row>
    <row r="25" spans="1:15" s="244" customFormat="1" ht="25.5" x14ac:dyDescent="0.2">
      <c r="A25" s="255" t="s">
        <v>338</v>
      </c>
      <c r="B25" s="265" t="s">
        <v>339</v>
      </c>
      <c r="C25" s="267" t="s">
        <v>340</v>
      </c>
      <c r="D25" s="258">
        <v>1000000</v>
      </c>
      <c r="E25" s="259">
        <v>0</v>
      </c>
      <c r="G25" s="250"/>
      <c r="H25" s="250"/>
      <c r="I25" s="250"/>
      <c r="J25" s="250"/>
      <c r="K25" s="250"/>
      <c r="L25" s="250"/>
      <c r="M25" s="250"/>
      <c r="N25" s="250"/>
      <c r="O25" s="250"/>
    </row>
    <row r="26" spans="1:15" s="244" customFormat="1" ht="25.5" x14ac:dyDescent="0.2">
      <c r="A26" s="255" t="s">
        <v>341</v>
      </c>
      <c r="B26" s="265" t="s">
        <v>342</v>
      </c>
      <c r="C26" s="257">
        <v>45107</v>
      </c>
      <c r="D26" s="258">
        <f>E26</f>
        <v>2578163</v>
      </c>
      <c r="E26" s="259">
        <v>2578163</v>
      </c>
      <c r="G26" s="250"/>
      <c r="H26" s="250"/>
      <c r="I26" s="250"/>
      <c r="J26" s="250"/>
      <c r="K26" s="250"/>
      <c r="L26" s="250"/>
      <c r="M26" s="250"/>
      <c r="N26" s="250"/>
      <c r="O26" s="250"/>
    </row>
    <row r="27" spans="1:15" s="244" customFormat="1" x14ac:dyDescent="0.2">
      <c r="A27" s="255" t="s">
        <v>343</v>
      </c>
      <c r="B27" s="268" t="s">
        <v>344</v>
      </c>
      <c r="C27" s="269" t="s">
        <v>311</v>
      </c>
      <c r="D27" s="270">
        <f>E27</f>
        <v>5784</v>
      </c>
      <c r="E27" s="259">
        <v>5784</v>
      </c>
      <c r="G27" s="250"/>
      <c r="H27" s="250"/>
      <c r="I27" s="250"/>
      <c r="J27" s="250"/>
      <c r="K27" s="250"/>
      <c r="L27" s="250"/>
      <c r="M27" s="250"/>
      <c r="N27" s="250"/>
      <c r="O27" s="250"/>
    </row>
    <row r="28" spans="1:15" s="244" customFormat="1" x14ac:dyDescent="0.2">
      <c r="A28" s="255" t="s">
        <v>343</v>
      </c>
      <c r="B28" s="251" t="s">
        <v>345</v>
      </c>
      <c r="C28" s="269" t="s">
        <v>311</v>
      </c>
      <c r="D28" s="270">
        <f>E28</f>
        <v>277620</v>
      </c>
      <c r="E28" s="259">
        <v>277620</v>
      </c>
      <c r="G28" s="250"/>
      <c r="H28" s="250"/>
      <c r="I28" s="250"/>
      <c r="J28" s="250"/>
      <c r="K28" s="250"/>
      <c r="L28" s="250"/>
      <c r="M28" s="250"/>
      <c r="N28" s="250"/>
      <c r="O28" s="250"/>
    </row>
    <row r="29" spans="1:15" s="244" customFormat="1" x14ac:dyDescent="0.2">
      <c r="A29" s="255" t="s">
        <v>346</v>
      </c>
      <c r="B29" s="251" t="s">
        <v>347</v>
      </c>
      <c r="C29" s="257">
        <v>44723</v>
      </c>
      <c r="D29" s="270"/>
      <c r="E29" s="259">
        <v>50000</v>
      </c>
      <c r="G29" s="250"/>
      <c r="H29" s="250"/>
      <c r="I29" s="250"/>
      <c r="J29" s="250"/>
      <c r="K29" s="250"/>
      <c r="L29" s="250"/>
      <c r="M29" s="250"/>
      <c r="N29" s="250"/>
      <c r="O29" s="250"/>
    </row>
    <row r="30" spans="1:15" s="244" customFormat="1" x14ac:dyDescent="0.2">
      <c r="A30" s="255" t="s">
        <v>348</v>
      </c>
      <c r="B30" s="251" t="s">
        <v>349</v>
      </c>
      <c r="C30" s="257">
        <v>44749</v>
      </c>
      <c r="D30" s="270"/>
      <c r="E30" s="259">
        <v>201505</v>
      </c>
      <c r="G30" s="250"/>
      <c r="H30" s="250"/>
      <c r="I30" s="250"/>
      <c r="J30" s="250"/>
      <c r="K30" s="250"/>
      <c r="L30" s="250"/>
      <c r="M30" s="250"/>
      <c r="N30" s="250"/>
      <c r="O30" s="250"/>
    </row>
    <row r="31" spans="1:15" s="244" customFormat="1" ht="38.25" x14ac:dyDescent="0.2">
      <c r="A31" s="252" t="s">
        <v>350</v>
      </c>
      <c r="B31" s="266" t="s">
        <v>351</v>
      </c>
      <c r="C31" s="257" t="s">
        <v>352</v>
      </c>
      <c r="D31" s="270">
        <v>762000</v>
      </c>
      <c r="E31" s="259">
        <v>0</v>
      </c>
      <c r="G31" s="250"/>
      <c r="H31" s="250"/>
      <c r="I31" s="250"/>
      <c r="J31" s="250"/>
      <c r="K31" s="250"/>
      <c r="L31" s="250"/>
      <c r="M31" s="250"/>
      <c r="N31" s="250"/>
      <c r="O31" s="250"/>
    </row>
    <row r="32" spans="1:15" s="244" customFormat="1" x14ac:dyDescent="0.2">
      <c r="A32" s="271" t="s">
        <v>353</v>
      </c>
      <c r="B32" s="272" t="s">
        <v>354</v>
      </c>
      <c r="C32" s="269" t="s">
        <v>311</v>
      </c>
      <c r="D32" s="258">
        <f>E32</f>
        <v>120590</v>
      </c>
      <c r="E32" s="259">
        <v>120590</v>
      </c>
      <c r="G32" s="250"/>
      <c r="H32" s="250"/>
      <c r="I32" s="250"/>
      <c r="J32" s="250"/>
      <c r="K32" s="250"/>
      <c r="L32" s="250"/>
      <c r="M32" s="250"/>
      <c r="N32" s="250"/>
      <c r="O32" s="250"/>
    </row>
    <row r="33" spans="1:15" s="244" customFormat="1" x14ac:dyDescent="0.2">
      <c r="A33" s="271" t="s">
        <v>353</v>
      </c>
      <c r="B33" s="272" t="s">
        <v>355</v>
      </c>
      <c r="C33" s="269" t="s">
        <v>311</v>
      </c>
      <c r="D33" s="258">
        <f>E33</f>
        <v>58950</v>
      </c>
      <c r="E33" s="259">
        <v>58950</v>
      </c>
      <c r="G33" s="250"/>
      <c r="H33" s="250"/>
      <c r="I33" s="250"/>
      <c r="J33" s="250"/>
      <c r="K33" s="250"/>
      <c r="L33" s="250"/>
      <c r="M33" s="250"/>
      <c r="N33" s="250"/>
      <c r="O33" s="250"/>
    </row>
    <row r="34" spans="1:15" s="244" customFormat="1" x14ac:dyDescent="0.2">
      <c r="A34" s="271" t="s">
        <v>353</v>
      </c>
      <c r="B34" s="272" t="s">
        <v>356</v>
      </c>
      <c r="C34" s="269" t="s">
        <v>311</v>
      </c>
      <c r="D34" s="258">
        <f>E34</f>
        <v>640180</v>
      </c>
      <c r="E34" s="259">
        <v>640180</v>
      </c>
      <c r="G34" s="250"/>
      <c r="H34" s="250"/>
      <c r="I34" s="250"/>
      <c r="J34" s="250"/>
      <c r="K34" s="250"/>
      <c r="L34" s="250"/>
      <c r="M34" s="250"/>
      <c r="N34" s="250"/>
      <c r="O34" s="250"/>
    </row>
    <row r="35" spans="1:15" s="244" customFormat="1" x14ac:dyDescent="0.2">
      <c r="A35" s="245" t="s">
        <v>357</v>
      </c>
      <c r="B35" s="246" t="s">
        <v>358</v>
      </c>
      <c r="C35" s="247" t="s">
        <v>311</v>
      </c>
      <c r="D35" s="248">
        <f>E35</f>
        <v>52550</v>
      </c>
      <c r="E35" s="249">
        <v>52550</v>
      </c>
    </row>
    <row r="36" spans="1:15" s="244" customFormat="1" x14ac:dyDescent="0.2">
      <c r="A36" s="271" t="s">
        <v>359</v>
      </c>
      <c r="B36" s="272" t="s">
        <v>360</v>
      </c>
      <c r="C36" s="257" t="s">
        <v>311</v>
      </c>
      <c r="D36" s="273">
        <f t="shared" ref="D36:D37" si="1">E36</f>
        <v>141419</v>
      </c>
      <c r="E36" s="274">
        <v>141419</v>
      </c>
      <c r="G36" s="250"/>
      <c r="H36" s="250"/>
      <c r="I36" s="250"/>
      <c r="J36" s="250"/>
      <c r="K36" s="250"/>
      <c r="L36" s="250"/>
      <c r="M36" s="250"/>
      <c r="N36" s="250"/>
      <c r="O36" s="250"/>
    </row>
    <row r="37" spans="1:15" s="244" customFormat="1" x14ac:dyDescent="0.2">
      <c r="A37" s="271" t="s">
        <v>359</v>
      </c>
      <c r="B37" s="272" t="s">
        <v>361</v>
      </c>
      <c r="C37" s="257" t="s">
        <v>311</v>
      </c>
      <c r="D37" s="273">
        <f t="shared" si="1"/>
        <v>48130</v>
      </c>
      <c r="E37" s="274">
        <v>48130</v>
      </c>
      <c r="G37" s="250"/>
      <c r="H37" s="250"/>
      <c r="I37" s="250"/>
      <c r="J37" s="250"/>
      <c r="K37" s="250"/>
      <c r="L37" s="250"/>
      <c r="M37" s="250"/>
      <c r="N37" s="250"/>
      <c r="O37" s="250"/>
    </row>
    <row r="38" spans="1:15" s="244" customFormat="1" x14ac:dyDescent="0.2">
      <c r="A38" s="271" t="s">
        <v>359</v>
      </c>
      <c r="B38" s="272" t="s">
        <v>362</v>
      </c>
      <c r="C38" s="257" t="s">
        <v>311</v>
      </c>
      <c r="D38" s="273">
        <f>E38</f>
        <v>14844</v>
      </c>
      <c r="E38" s="274">
        <v>14844</v>
      </c>
      <c r="G38" s="250"/>
      <c r="H38" s="250"/>
      <c r="I38" s="250"/>
      <c r="J38" s="250"/>
      <c r="K38" s="250"/>
      <c r="L38" s="250"/>
      <c r="M38" s="250"/>
      <c r="N38" s="250"/>
      <c r="O38" s="250"/>
    </row>
    <row r="39" spans="1:15" s="253" customFormat="1" x14ac:dyDescent="0.2">
      <c r="A39" s="271" t="s">
        <v>359</v>
      </c>
      <c r="B39" s="251" t="s">
        <v>363</v>
      </c>
      <c r="C39" s="257" t="s">
        <v>311</v>
      </c>
      <c r="D39" s="273">
        <f>E39</f>
        <v>0</v>
      </c>
      <c r="E39" s="274">
        <v>0</v>
      </c>
      <c r="G39" s="254"/>
      <c r="H39" s="254"/>
      <c r="I39" s="254"/>
      <c r="J39" s="254"/>
      <c r="K39" s="254"/>
      <c r="L39" s="254"/>
      <c r="M39" s="254"/>
      <c r="N39" s="254"/>
      <c r="O39" s="254"/>
    </row>
    <row r="40" spans="1:15" s="253" customFormat="1" x14ac:dyDescent="0.2">
      <c r="A40" s="271" t="s">
        <v>359</v>
      </c>
      <c r="B40" s="251" t="s">
        <v>364</v>
      </c>
      <c r="C40" s="257" t="s">
        <v>311</v>
      </c>
      <c r="D40" s="273">
        <f>(E40/7)*12</f>
        <v>247873.71428571432</v>
      </c>
      <c r="E40" s="274">
        <v>144593</v>
      </c>
      <c r="G40" s="254"/>
      <c r="H40" s="254"/>
      <c r="I40" s="254"/>
      <c r="J40" s="254"/>
      <c r="K40" s="254"/>
      <c r="L40" s="254"/>
      <c r="M40" s="254"/>
      <c r="N40" s="254"/>
      <c r="O40" s="254"/>
    </row>
    <row r="41" spans="1:15" s="253" customFormat="1" x14ac:dyDescent="0.2">
      <c r="A41" s="271" t="s">
        <v>365</v>
      </c>
      <c r="B41" s="251" t="s">
        <v>366</v>
      </c>
      <c r="C41" s="257" t="s">
        <v>311</v>
      </c>
      <c r="D41" s="273">
        <f>(E41/5)*12</f>
        <v>262080</v>
      </c>
      <c r="E41" s="274">
        <v>109200</v>
      </c>
      <c r="G41" s="254"/>
      <c r="H41" s="254"/>
      <c r="I41" s="254"/>
      <c r="J41" s="254"/>
      <c r="K41" s="254"/>
      <c r="L41" s="254"/>
      <c r="M41" s="254"/>
      <c r="N41" s="254"/>
      <c r="O41" s="254"/>
    </row>
    <row r="42" spans="1:15" s="244" customFormat="1" x14ac:dyDescent="0.2">
      <c r="A42" s="271" t="s">
        <v>367</v>
      </c>
      <c r="B42" s="272" t="s">
        <v>368</v>
      </c>
      <c r="C42" s="257" t="s">
        <v>311</v>
      </c>
      <c r="D42" s="273">
        <f>E42</f>
        <v>1000000</v>
      </c>
      <c r="E42" s="274">
        <v>1000000</v>
      </c>
      <c r="G42" s="250"/>
      <c r="H42" s="250"/>
      <c r="I42" s="250"/>
      <c r="J42" s="250"/>
      <c r="K42" s="250"/>
      <c r="L42" s="250"/>
      <c r="M42" s="250"/>
      <c r="N42" s="250"/>
      <c r="O42" s="250"/>
    </row>
    <row r="43" spans="1:15" s="244" customFormat="1" ht="13.5" x14ac:dyDescent="0.25">
      <c r="A43" s="271" t="s">
        <v>369</v>
      </c>
      <c r="B43" s="272" t="s">
        <v>344</v>
      </c>
      <c r="C43" s="257" t="s">
        <v>311</v>
      </c>
      <c r="D43" s="273">
        <f>E43*2</f>
        <v>10410</v>
      </c>
      <c r="E43" s="274">
        <v>5205</v>
      </c>
      <c r="G43" s="250"/>
      <c r="H43" s="250"/>
      <c r="I43" s="275"/>
      <c r="J43" s="250"/>
      <c r="K43" s="250"/>
      <c r="L43" s="250"/>
      <c r="M43" s="250"/>
      <c r="N43" s="250"/>
      <c r="O43" s="250"/>
    </row>
    <row r="44" spans="1:15" s="253" customFormat="1" ht="13.5" x14ac:dyDescent="0.25">
      <c r="A44" s="276" t="s">
        <v>370</v>
      </c>
      <c r="B44" s="277" t="s">
        <v>371</v>
      </c>
      <c r="C44" s="262" t="s">
        <v>311</v>
      </c>
      <c r="D44" s="278">
        <f>12*47549</f>
        <v>570588</v>
      </c>
      <c r="E44" s="279">
        <v>570586</v>
      </c>
      <c r="G44" s="254"/>
      <c r="H44" s="254"/>
      <c r="I44" s="280"/>
      <c r="J44" s="254"/>
      <c r="K44" s="254"/>
      <c r="L44" s="254"/>
      <c r="M44" s="254"/>
      <c r="N44" s="254"/>
      <c r="O44" s="254"/>
    </row>
    <row r="45" spans="1:15" s="253" customFormat="1" ht="13.5" x14ac:dyDescent="0.25">
      <c r="A45" s="271" t="s">
        <v>370</v>
      </c>
      <c r="B45" s="256" t="s">
        <v>372</v>
      </c>
      <c r="C45" s="257" t="s">
        <v>311</v>
      </c>
      <c r="D45" s="258"/>
      <c r="E45" s="259">
        <v>240000010</v>
      </c>
      <c r="G45" s="254"/>
      <c r="H45" s="254"/>
      <c r="I45" s="254"/>
      <c r="J45" s="280"/>
      <c r="K45" s="254"/>
      <c r="L45" s="254"/>
      <c r="M45" s="254"/>
      <c r="N45" s="254"/>
      <c r="O45" s="254"/>
    </row>
    <row r="46" spans="1:15" s="244" customFormat="1" ht="13.5" x14ac:dyDescent="0.25">
      <c r="A46" s="271" t="s">
        <v>370</v>
      </c>
      <c r="B46" s="256" t="s">
        <v>373</v>
      </c>
      <c r="C46" s="257">
        <v>44620</v>
      </c>
      <c r="D46" s="258">
        <v>1500000</v>
      </c>
      <c r="E46" s="259">
        <v>885688</v>
      </c>
      <c r="G46" s="250"/>
      <c r="H46" s="250"/>
      <c r="I46" s="250"/>
      <c r="J46" s="275"/>
      <c r="K46" s="250"/>
      <c r="L46" s="250"/>
      <c r="M46" s="250"/>
      <c r="N46" s="250"/>
      <c r="O46" s="250"/>
    </row>
    <row r="47" spans="1:15" s="244" customFormat="1" x14ac:dyDescent="0.2">
      <c r="A47" s="271" t="s">
        <v>374</v>
      </c>
      <c r="B47" s="272" t="s">
        <v>375</v>
      </c>
      <c r="C47" s="257">
        <v>44196</v>
      </c>
      <c r="D47" s="273">
        <f>5282573-3737900</f>
        <v>1544673</v>
      </c>
      <c r="E47" s="281">
        <v>0</v>
      </c>
      <c r="F47" s="250"/>
      <c r="G47" s="250"/>
      <c r="H47" s="250"/>
      <c r="I47" s="250"/>
      <c r="J47" s="250"/>
      <c r="K47" s="250"/>
      <c r="L47" s="250"/>
      <c r="M47" s="250"/>
      <c r="N47" s="250"/>
      <c r="O47" s="250"/>
    </row>
    <row r="48" spans="1:15" s="244" customFormat="1" x14ac:dyDescent="0.2">
      <c r="A48" s="271" t="s">
        <v>374</v>
      </c>
      <c r="B48" s="272" t="s">
        <v>376</v>
      </c>
      <c r="C48" s="257">
        <v>43356</v>
      </c>
      <c r="D48" s="273">
        <v>1700000</v>
      </c>
      <c r="E48" s="274">
        <v>0</v>
      </c>
      <c r="F48" s="250"/>
      <c r="H48" s="250"/>
      <c r="I48" s="250"/>
      <c r="J48" s="250"/>
      <c r="K48" s="250"/>
      <c r="L48" s="250"/>
      <c r="M48" s="250"/>
      <c r="N48" s="250"/>
      <c r="O48" s="250"/>
    </row>
    <row r="49" spans="1:15" s="253" customFormat="1" x14ac:dyDescent="0.2">
      <c r="A49" s="271" t="s">
        <v>377</v>
      </c>
      <c r="B49" s="272" t="s">
        <v>378</v>
      </c>
      <c r="C49" s="257" t="s">
        <v>311</v>
      </c>
      <c r="D49" s="273">
        <f>E49</f>
        <v>3904615</v>
      </c>
      <c r="E49" s="274">
        <v>3904615</v>
      </c>
      <c r="F49" s="254"/>
      <c r="H49" s="254"/>
      <c r="I49" s="254"/>
      <c r="J49" s="254"/>
      <c r="K49" s="254"/>
      <c r="L49" s="254"/>
      <c r="M49" s="254"/>
      <c r="N49" s="254"/>
      <c r="O49" s="254"/>
    </row>
    <row r="50" spans="1:15" s="253" customFormat="1" x14ac:dyDescent="0.2">
      <c r="A50" s="271" t="s">
        <v>379</v>
      </c>
      <c r="B50" s="282" t="s">
        <v>380</v>
      </c>
      <c r="C50" s="283" t="s">
        <v>311</v>
      </c>
      <c r="D50" s="273">
        <f>40000*12</f>
        <v>480000</v>
      </c>
      <c r="E50" s="274">
        <v>200000</v>
      </c>
      <c r="F50" s="254"/>
      <c r="H50" s="254"/>
      <c r="I50" s="254"/>
      <c r="J50" s="254"/>
      <c r="K50" s="254"/>
      <c r="L50" s="254"/>
      <c r="M50" s="254"/>
      <c r="N50" s="254"/>
      <c r="O50" s="254"/>
    </row>
    <row r="51" spans="1:15" s="253" customFormat="1" x14ac:dyDescent="0.2">
      <c r="A51" s="271" t="s">
        <v>381</v>
      </c>
      <c r="B51" s="272" t="s">
        <v>382</v>
      </c>
      <c r="C51" s="257" t="s">
        <v>311</v>
      </c>
      <c r="D51" s="273">
        <f>12*30000</f>
        <v>360000</v>
      </c>
      <c r="E51" s="274">
        <v>90000</v>
      </c>
      <c r="F51" s="254"/>
      <c r="H51" s="254"/>
      <c r="I51" s="254"/>
      <c r="J51" s="254"/>
      <c r="K51" s="254"/>
      <c r="L51" s="254"/>
      <c r="M51" s="254"/>
      <c r="N51" s="254"/>
      <c r="O51" s="254"/>
    </row>
    <row r="52" spans="1:15" s="253" customFormat="1" x14ac:dyDescent="0.2">
      <c r="A52" s="271" t="s">
        <v>383</v>
      </c>
      <c r="B52" s="272" t="s">
        <v>384</v>
      </c>
      <c r="C52" s="257" t="s">
        <v>311</v>
      </c>
      <c r="D52" s="273">
        <f>E52*2</f>
        <v>347530</v>
      </c>
      <c r="E52" s="274">
        <v>173765</v>
      </c>
      <c r="F52" s="254"/>
      <c r="H52" s="254"/>
      <c r="I52" s="254"/>
      <c r="J52" s="254"/>
      <c r="K52" s="254"/>
      <c r="L52" s="254"/>
      <c r="M52" s="254"/>
      <c r="N52" s="254"/>
      <c r="O52" s="254"/>
    </row>
    <row r="53" spans="1:15" s="253" customFormat="1" x14ac:dyDescent="0.2">
      <c r="A53" s="260" t="s">
        <v>385</v>
      </c>
      <c r="B53" s="261" t="s">
        <v>386</v>
      </c>
      <c r="C53" s="262">
        <v>44926</v>
      </c>
      <c r="D53" s="263">
        <v>100600</v>
      </c>
      <c r="E53" s="264">
        <v>1219015</v>
      </c>
      <c r="G53" s="254"/>
      <c r="H53" s="254"/>
      <c r="I53" s="254"/>
      <c r="J53" s="254"/>
      <c r="K53" s="254"/>
      <c r="L53" s="254"/>
      <c r="M53" s="254"/>
      <c r="N53" s="254"/>
      <c r="O53" s="254"/>
    </row>
    <row r="54" spans="1:15" s="253" customFormat="1" x14ac:dyDescent="0.2">
      <c r="A54" s="260" t="s">
        <v>385</v>
      </c>
      <c r="B54" s="261" t="s">
        <v>387</v>
      </c>
      <c r="C54" s="262" t="s">
        <v>311</v>
      </c>
      <c r="D54" s="263">
        <f>E54</f>
        <v>277200</v>
      </c>
      <c r="E54" s="264">
        <v>277200</v>
      </c>
      <c r="F54" s="254"/>
      <c r="G54" s="254"/>
      <c r="H54" s="254"/>
      <c r="I54" s="254"/>
      <c r="J54" s="254"/>
      <c r="K54" s="254"/>
      <c r="L54" s="254"/>
      <c r="M54" s="254"/>
      <c r="N54" s="254"/>
      <c r="O54" s="254"/>
    </row>
    <row r="55" spans="1:15" s="253" customFormat="1" x14ac:dyDescent="0.2">
      <c r="A55" s="260" t="s">
        <v>388</v>
      </c>
      <c r="B55" s="261" t="s">
        <v>389</v>
      </c>
      <c r="C55" s="262">
        <v>45107</v>
      </c>
      <c r="D55" s="263">
        <f>2162500+337500+(180000*4)</f>
        <v>3220000</v>
      </c>
      <c r="E55" s="264">
        <v>3860000</v>
      </c>
      <c r="F55" s="254"/>
      <c r="G55" s="254"/>
      <c r="H55" s="254"/>
      <c r="I55" s="254"/>
      <c r="J55" s="254"/>
      <c r="K55" s="254"/>
      <c r="L55" s="254"/>
      <c r="M55" s="254"/>
      <c r="N55" s="254"/>
      <c r="O55" s="254"/>
    </row>
    <row r="56" spans="1:15" s="253" customFormat="1" x14ac:dyDescent="0.2">
      <c r="A56" s="271" t="s">
        <v>390</v>
      </c>
      <c r="B56" s="272" t="s">
        <v>391</v>
      </c>
      <c r="C56" s="257" t="s">
        <v>311</v>
      </c>
      <c r="D56" s="258">
        <f>E56*E6</f>
        <v>6550520</v>
      </c>
      <c r="E56" s="284">
        <v>6550520</v>
      </c>
      <c r="G56" s="254"/>
      <c r="H56" s="254"/>
      <c r="I56" s="254"/>
      <c r="J56" s="254"/>
      <c r="K56" s="254"/>
      <c r="L56" s="254"/>
      <c r="M56" s="254"/>
      <c r="N56" s="254"/>
      <c r="O56" s="254"/>
    </row>
    <row r="57" spans="1:15" s="244" customFormat="1" x14ac:dyDescent="0.2">
      <c r="A57" s="271" t="s">
        <v>392</v>
      </c>
      <c r="B57" s="272" t="s">
        <v>393</v>
      </c>
      <c r="C57" s="257">
        <v>47849</v>
      </c>
      <c r="D57" s="285">
        <f>E57</f>
        <v>352267238</v>
      </c>
      <c r="E57" s="284">
        <v>352267238</v>
      </c>
      <c r="G57" s="250"/>
      <c r="H57" s="250"/>
      <c r="I57" s="250"/>
      <c r="J57" s="250"/>
      <c r="K57" s="250"/>
      <c r="L57" s="250"/>
      <c r="M57" s="250"/>
      <c r="N57" s="250"/>
      <c r="O57" s="250"/>
    </row>
    <row r="58" spans="1:15" s="253" customFormat="1" x14ac:dyDescent="0.2">
      <c r="A58" s="252" t="s">
        <v>394</v>
      </c>
      <c r="B58" s="251" t="s">
        <v>395</v>
      </c>
      <c r="C58" s="257" t="s">
        <v>311</v>
      </c>
      <c r="D58" s="285">
        <f>E58</f>
        <v>251460</v>
      </c>
      <c r="E58" s="284">
        <v>251460</v>
      </c>
      <c r="G58" s="254"/>
      <c r="H58" s="254"/>
      <c r="I58" s="254"/>
      <c r="J58" s="254"/>
      <c r="K58" s="254"/>
      <c r="L58" s="254"/>
      <c r="M58" s="254"/>
      <c r="N58" s="254"/>
      <c r="O58" s="254"/>
    </row>
    <row r="59" spans="1:15" s="253" customFormat="1" x14ac:dyDescent="0.2">
      <c r="A59" s="252" t="s">
        <v>396</v>
      </c>
      <c r="B59" s="286" t="s">
        <v>397</v>
      </c>
      <c r="C59" s="287" t="s">
        <v>311</v>
      </c>
      <c r="D59" s="258">
        <f>E59*2</f>
        <v>157098614</v>
      </c>
      <c r="E59" s="284">
        <f>78530833+18474</f>
        <v>78549307</v>
      </c>
      <c r="G59" s="254"/>
      <c r="H59" s="254"/>
      <c r="I59" s="254"/>
      <c r="J59" s="254"/>
      <c r="K59" s="254"/>
      <c r="L59" s="254"/>
      <c r="M59" s="254"/>
      <c r="N59" s="254"/>
      <c r="O59" s="254"/>
    </row>
    <row r="60" spans="1:15" s="253" customFormat="1" x14ac:dyDescent="0.2">
      <c r="A60" s="252" t="s">
        <v>398</v>
      </c>
      <c r="B60" s="286" t="s">
        <v>399</v>
      </c>
      <c r="C60" s="287" t="s">
        <v>311</v>
      </c>
      <c r="D60" s="258">
        <f>E60*2.5</f>
        <v>74191480</v>
      </c>
      <c r="E60" s="259">
        <v>29676592</v>
      </c>
      <c r="G60" s="254"/>
      <c r="H60" s="254"/>
      <c r="I60" s="254"/>
      <c r="J60" s="254"/>
      <c r="K60" s="254"/>
      <c r="L60" s="254"/>
      <c r="M60" s="254"/>
      <c r="N60" s="254"/>
      <c r="O60" s="254"/>
    </row>
    <row r="61" spans="1:15" s="253" customFormat="1" x14ac:dyDescent="0.2">
      <c r="A61" s="255" t="s">
        <v>400</v>
      </c>
      <c r="B61" s="256" t="s">
        <v>401</v>
      </c>
      <c r="C61" s="257" t="s">
        <v>311</v>
      </c>
      <c r="D61" s="258">
        <f>E61</f>
        <v>4328500</v>
      </c>
      <c r="E61" s="259">
        <f>2178500+2695000-450000-95000</f>
        <v>4328500</v>
      </c>
      <c r="G61" s="254"/>
      <c r="H61" s="254"/>
      <c r="I61" s="254"/>
      <c r="J61" s="254"/>
      <c r="K61" s="254"/>
      <c r="L61" s="254"/>
      <c r="M61" s="254"/>
      <c r="N61" s="254"/>
      <c r="O61" s="254"/>
    </row>
    <row r="62" spans="1:15" s="253" customFormat="1" x14ac:dyDescent="0.2">
      <c r="A62" s="255" t="s">
        <v>402</v>
      </c>
      <c r="B62" s="256" t="s">
        <v>403</v>
      </c>
      <c r="C62" s="257">
        <v>45046</v>
      </c>
      <c r="D62" s="258">
        <f>4*1540370</f>
        <v>6161480</v>
      </c>
      <c r="E62" s="259">
        <v>17206830</v>
      </c>
      <c r="G62" s="254"/>
      <c r="H62" s="254"/>
      <c r="I62" s="254"/>
      <c r="J62" s="254"/>
      <c r="K62" s="254"/>
      <c r="L62" s="254"/>
      <c r="M62" s="254"/>
      <c r="N62" s="254"/>
      <c r="O62" s="254"/>
    </row>
    <row r="63" spans="1:15" s="253" customFormat="1" ht="25.5" x14ac:dyDescent="0.2">
      <c r="A63" s="255" t="s">
        <v>404</v>
      </c>
      <c r="B63" s="265" t="s">
        <v>405</v>
      </c>
      <c r="C63" s="257">
        <v>45360</v>
      </c>
      <c r="D63" s="258">
        <f>700000*4</f>
        <v>2800000</v>
      </c>
      <c r="E63" s="259">
        <v>1599700</v>
      </c>
      <c r="G63" s="254"/>
      <c r="H63" s="254"/>
      <c r="I63" s="254"/>
      <c r="J63" s="254"/>
      <c r="K63" s="254"/>
      <c r="L63" s="254"/>
      <c r="M63" s="254"/>
      <c r="N63" s="254"/>
      <c r="O63" s="254"/>
    </row>
    <row r="64" spans="1:15" s="253" customFormat="1" ht="25.5" x14ac:dyDescent="0.2">
      <c r="A64" s="255" t="s">
        <v>406</v>
      </c>
      <c r="B64" s="265" t="s">
        <v>407</v>
      </c>
      <c r="C64" s="257" t="s">
        <v>408</v>
      </c>
      <c r="D64" s="258">
        <v>1102043</v>
      </c>
      <c r="E64" s="259">
        <v>6244908</v>
      </c>
      <c r="G64" s="254"/>
      <c r="H64" s="254"/>
      <c r="I64" s="254"/>
      <c r="J64" s="254"/>
      <c r="K64" s="254"/>
      <c r="L64" s="254"/>
      <c r="M64" s="254"/>
      <c r="N64" s="254"/>
      <c r="O64" s="254"/>
    </row>
    <row r="65" spans="1:15" s="244" customFormat="1" x14ac:dyDescent="0.2">
      <c r="A65" s="255" t="s">
        <v>409</v>
      </c>
      <c r="B65" s="265" t="s">
        <v>410</v>
      </c>
      <c r="C65" s="257" t="s">
        <v>411</v>
      </c>
      <c r="D65" s="258">
        <v>390000</v>
      </c>
      <c r="E65" s="259">
        <v>0</v>
      </c>
      <c r="G65" s="288"/>
      <c r="H65" s="250"/>
      <c r="I65" s="250"/>
      <c r="J65" s="250"/>
      <c r="K65" s="250"/>
      <c r="L65" s="250"/>
      <c r="M65" s="250"/>
      <c r="N65" s="250"/>
      <c r="O65" s="250"/>
    </row>
    <row r="66" spans="1:15" s="244" customFormat="1" x14ac:dyDescent="0.2">
      <c r="A66" s="252" t="s">
        <v>412</v>
      </c>
      <c r="B66" s="251" t="s">
        <v>413</v>
      </c>
      <c r="C66" s="257">
        <v>44712</v>
      </c>
      <c r="D66" s="270">
        <v>500000</v>
      </c>
      <c r="E66" s="259">
        <v>0</v>
      </c>
      <c r="G66" s="250"/>
      <c r="H66" s="250"/>
      <c r="I66" s="250"/>
      <c r="J66" s="250"/>
      <c r="K66" s="250"/>
      <c r="L66" s="250"/>
      <c r="M66" s="250"/>
      <c r="N66" s="250"/>
      <c r="O66" s="250"/>
    </row>
    <row r="67" spans="1:15" s="253" customFormat="1" x14ac:dyDescent="0.2">
      <c r="A67" s="255" t="s">
        <v>414</v>
      </c>
      <c r="B67" s="289" t="s">
        <v>415</v>
      </c>
      <c r="C67" s="257" t="s">
        <v>416</v>
      </c>
      <c r="D67" s="258">
        <f>(5700000*1.27)-E67</f>
        <v>2794000</v>
      </c>
      <c r="E67" s="259">
        <v>4445000</v>
      </c>
      <c r="G67" s="290"/>
      <c r="H67" s="254"/>
      <c r="I67" s="254"/>
      <c r="J67" s="254"/>
      <c r="K67" s="254"/>
      <c r="L67" s="254"/>
      <c r="M67" s="254"/>
      <c r="N67" s="254"/>
      <c r="O67" s="254"/>
    </row>
    <row r="68" spans="1:15" s="253" customFormat="1" x14ac:dyDescent="0.2">
      <c r="A68" s="291" t="s">
        <v>417</v>
      </c>
      <c r="B68" s="289" t="s">
        <v>418</v>
      </c>
      <c r="C68" s="257">
        <v>44985</v>
      </c>
      <c r="D68" s="258">
        <f>2*1500000</f>
        <v>3000000</v>
      </c>
      <c r="E68" s="259">
        <f>4*1500000</f>
        <v>6000000</v>
      </c>
      <c r="G68" s="290"/>
      <c r="H68" s="254"/>
      <c r="I68" s="254"/>
      <c r="J68" s="254"/>
      <c r="K68" s="254"/>
      <c r="L68" s="254"/>
      <c r="M68" s="254"/>
      <c r="N68" s="254"/>
      <c r="O68" s="254"/>
    </row>
    <row r="69" spans="1:15" s="253" customFormat="1" x14ac:dyDescent="0.2">
      <c r="A69" s="252" t="s">
        <v>419</v>
      </c>
      <c r="B69" s="292" t="s">
        <v>420</v>
      </c>
      <c r="C69" s="287" t="s">
        <v>311</v>
      </c>
      <c r="D69" s="258">
        <f>E69</f>
        <v>362025</v>
      </c>
      <c r="E69" s="259">
        <v>362025</v>
      </c>
      <c r="G69" s="254"/>
      <c r="H69" s="254"/>
      <c r="I69" s="254"/>
      <c r="J69" s="254"/>
      <c r="K69" s="254"/>
      <c r="L69" s="254"/>
      <c r="M69" s="254"/>
      <c r="N69" s="254"/>
      <c r="O69" s="254"/>
    </row>
    <row r="70" spans="1:15" s="253" customFormat="1" x14ac:dyDescent="0.2">
      <c r="A70" s="252" t="s">
        <v>419</v>
      </c>
      <c r="B70" s="292" t="s">
        <v>421</v>
      </c>
      <c r="C70" s="287" t="s">
        <v>311</v>
      </c>
      <c r="D70" s="258">
        <f>E70</f>
        <v>337099</v>
      </c>
      <c r="E70" s="259">
        <v>337099</v>
      </c>
      <c r="G70" s="254"/>
      <c r="H70" s="254"/>
      <c r="I70" s="254"/>
      <c r="J70" s="254"/>
      <c r="K70" s="254"/>
      <c r="L70" s="254"/>
      <c r="M70" s="254"/>
      <c r="N70" s="254"/>
      <c r="O70" s="254"/>
    </row>
    <row r="71" spans="1:15" s="253" customFormat="1" x14ac:dyDescent="0.2">
      <c r="A71" s="252" t="s">
        <v>422</v>
      </c>
      <c r="B71" s="292" t="s">
        <v>423</v>
      </c>
      <c r="C71" s="287" t="s">
        <v>311</v>
      </c>
      <c r="D71" s="258">
        <f>E71</f>
        <v>677685</v>
      </c>
      <c r="E71" s="259">
        <v>677685</v>
      </c>
      <c r="G71" s="254"/>
      <c r="H71" s="254"/>
      <c r="I71" s="254"/>
      <c r="J71" s="254"/>
      <c r="K71" s="254"/>
      <c r="L71" s="254"/>
      <c r="M71" s="254"/>
      <c r="N71" s="254"/>
      <c r="O71" s="254"/>
    </row>
    <row r="72" spans="1:15" s="253" customFormat="1" x14ac:dyDescent="0.2">
      <c r="A72" s="252" t="s">
        <v>424</v>
      </c>
      <c r="B72" s="286" t="s">
        <v>425</v>
      </c>
      <c r="C72" s="287" t="s">
        <v>311</v>
      </c>
      <c r="D72" s="258">
        <f>4*4500</f>
        <v>18000</v>
      </c>
      <c r="E72" s="259">
        <v>18000</v>
      </c>
      <c r="G72" s="254"/>
      <c r="H72" s="254"/>
      <c r="I72" s="254"/>
      <c r="J72" s="254"/>
      <c r="K72" s="254"/>
      <c r="L72" s="254"/>
      <c r="M72" s="254"/>
      <c r="N72" s="254"/>
      <c r="O72" s="254"/>
    </row>
    <row r="73" spans="1:15" s="253" customFormat="1" ht="25.5" x14ac:dyDescent="0.2">
      <c r="A73" s="293" t="s">
        <v>426</v>
      </c>
      <c r="B73" s="292" t="s">
        <v>427</v>
      </c>
      <c r="C73" s="287">
        <v>44986</v>
      </c>
      <c r="D73" s="258">
        <v>8750330</v>
      </c>
      <c r="E73" s="259">
        <v>0</v>
      </c>
      <c r="G73" s="254"/>
      <c r="H73" s="254"/>
      <c r="I73" s="254"/>
      <c r="J73" s="254"/>
      <c r="K73" s="254"/>
      <c r="L73" s="254"/>
      <c r="M73" s="254"/>
      <c r="N73" s="254"/>
      <c r="O73" s="254"/>
    </row>
    <row r="74" spans="1:15" s="253" customFormat="1" x14ac:dyDescent="0.2">
      <c r="A74" s="293" t="s">
        <v>426</v>
      </c>
      <c r="B74" s="251" t="s">
        <v>428</v>
      </c>
      <c r="C74" s="287">
        <v>44734</v>
      </c>
      <c r="D74" s="258">
        <f>160020000-E74</f>
        <v>96012000</v>
      </c>
      <c r="E74" s="259">
        <v>64008000</v>
      </c>
      <c r="G74" s="254"/>
      <c r="H74" s="254"/>
      <c r="I74" s="254"/>
      <c r="J74" s="254"/>
      <c r="K74" s="254"/>
      <c r="L74" s="254"/>
      <c r="M74" s="254"/>
      <c r="N74" s="254"/>
      <c r="O74" s="254"/>
    </row>
    <row r="75" spans="1:15" s="244" customFormat="1" x14ac:dyDescent="0.2">
      <c r="A75" s="252" t="s">
        <v>429</v>
      </c>
      <c r="B75" s="286" t="s">
        <v>430</v>
      </c>
      <c r="C75" s="287">
        <v>44630</v>
      </c>
      <c r="D75" s="258">
        <v>0</v>
      </c>
      <c r="E75" s="259">
        <v>130000</v>
      </c>
      <c r="G75" s="250"/>
      <c r="H75" s="250"/>
      <c r="I75" s="250"/>
      <c r="J75" s="250"/>
      <c r="K75" s="250"/>
      <c r="L75" s="250"/>
      <c r="M75" s="250"/>
      <c r="N75" s="250"/>
      <c r="O75" s="250"/>
    </row>
    <row r="76" spans="1:15" s="244" customFormat="1" ht="25.5" x14ac:dyDescent="0.2">
      <c r="A76" s="252" t="s">
        <v>431</v>
      </c>
      <c r="B76" s="289" t="s">
        <v>432</v>
      </c>
      <c r="C76" s="287" t="s">
        <v>433</v>
      </c>
      <c r="D76" s="258">
        <v>3000000</v>
      </c>
      <c r="E76" s="259">
        <v>0</v>
      </c>
      <c r="G76" s="250"/>
      <c r="H76" s="250"/>
      <c r="I76" s="250"/>
      <c r="J76" s="250"/>
      <c r="K76" s="250"/>
      <c r="L76" s="250"/>
      <c r="M76" s="250"/>
      <c r="N76" s="250"/>
      <c r="O76" s="250"/>
    </row>
    <row r="77" spans="1:15" s="244" customFormat="1" ht="25.5" x14ac:dyDescent="0.2">
      <c r="A77" s="252" t="s">
        <v>431</v>
      </c>
      <c r="B77" s="289" t="s">
        <v>434</v>
      </c>
      <c r="C77" s="287" t="s">
        <v>433</v>
      </c>
      <c r="D77" s="258">
        <v>3000000</v>
      </c>
      <c r="E77" s="259">
        <v>0</v>
      </c>
      <c r="G77" s="250"/>
      <c r="H77" s="250"/>
      <c r="I77" s="250"/>
      <c r="J77" s="250"/>
      <c r="K77" s="250"/>
      <c r="L77" s="250"/>
      <c r="M77" s="250"/>
      <c r="N77" s="250"/>
      <c r="O77" s="250"/>
    </row>
    <row r="78" spans="1:15" s="244" customFormat="1" ht="25.5" x14ac:dyDescent="0.2">
      <c r="A78" s="252" t="s">
        <v>431</v>
      </c>
      <c r="B78" s="289" t="s">
        <v>435</v>
      </c>
      <c r="C78" s="287" t="s">
        <v>433</v>
      </c>
      <c r="D78" s="258">
        <v>3000000</v>
      </c>
      <c r="E78" s="259">
        <v>0</v>
      </c>
      <c r="G78" s="250"/>
      <c r="H78" s="250"/>
      <c r="I78" s="250"/>
      <c r="J78" s="250"/>
      <c r="K78" s="250"/>
      <c r="L78" s="250"/>
      <c r="M78" s="250"/>
      <c r="N78" s="250"/>
      <c r="O78" s="250"/>
    </row>
    <row r="79" spans="1:15" s="244" customFormat="1" ht="25.5" x14ac:dyDescent="0.2">
      <c r="A79" s="252" t="s">
        <v>436</v>
      </c>
      <c r="B79" s="289" t="s">
        <v>437</v>
      </c>
      <c r="C79" s="287" t="s">
        <v>438</v>
      </c>
      <c r="D79" s="258">
        <f>1700000+350000-E79</f>
        <v>350000</v>
      </c>
      <c r="E79" s="259">
        <v>1700000</v>
      </c>
      <c r="G79" s="250"/>
      <c r="H79" s="250"/>
      <c r="I79" s="250"/>
      <c r="J79" s="250"/>
      <c r="K79" s="250"/>
      <c r="L79" s="250"/>
      <c r="M79" s="250"/>
      <c r="N79" s="250"/>
      <c r="O79" s="250"/>
    </row>
    <row r="80" spans="1:15" s="253" customFormat="1" x14ac:dyDescent="0.2">
      <c r="A80" s="294" t="s">
        <v>439</v>
      </c>
      <c r="B80" s="251" t="s">
        <v>440</v>
      </c>
      <c r="C80" s="287" t="s">
        <v>311</v>
      </c>
      <c r="D80" s="258">
        <v>2700000</v>
      </c>
      <c r="E80" s="259">
        <v>2923950</v>
      </c>
      <c r="G80" s="254"/>
      <c r="H80" s="254"/>
      <c r="I80" s="254"/>
      <c r="J80" s="254"/>
      <c r="K80" s="254"/>
      <c r="L80" s="254"/>
      <c r="M80" s="254"/>
      <c r="N80" s="254"/>
      <c r="O80" s="254"/>
    </row>
    <row r="81" spans="1:15" s="253" customFormat="1" x14ac:dyDescent="0.2">
      <c r="A81" s="294" t="s">
        <v>439</v>
      </c>
      <c r="B81" s="251" t="s">
        <v>441</v>
      </c>
      <c r="C81" s="287" t="s">
        <v>311</v>
      </c>
      <c r="D81" s="258">
        <v>6400800</v>
      </c>
      <c r="E81" s="259">
        <v>3403600</v>
      </c>
      <c r="G81" s="254"/>
      <c r="H81" s="254"/>
      <c r="I81" s="254"/>
      <c r="J81" s="254"/>
      <c r="K81" s="254"/>
      <c r="L81" s="254"/>
      <c r="M81" s="254"/>
      <c r="N81" s="254"/>
      <c r="O81" s="254"/>
    </row>
    <row r="82" spans="1:15" s="244" customFormat="1" x14ac:dyDescent="0.2">
      <c r="A82" s="294" t="s">
        <v>439</v>
      </c>
      <c r="B82" s="251" t="s">
        <v>442</v>
      </c>
      <c r="C82" s="287" t="s">
        <v>311</v>
      </c>
      <c r="D82" s="258">
        <f>240000*2</f>
        <v>480000</v>
      </c>
      <c r="E82" s="259">
        <v>480000</v>
      </c>
      <c r="G82" s="250"/>
      <c r="H82" s="250"/>
      <c r="I82" s="250"/>
      <c r="J82" s="250"/>
      <c r="K82" s="250"/>
      <c r="L82" s="250"/>
      <c r="M82" s="250"/>
      <c r="N82" s="250"/>
      <c r="O82" s="250"/>
    </row>
    <row r="83" spans="1:15" s="253" customFormat="1" x14ac:dyDescent="0.2">
      <c r="A83" s="252" t="s">
        <v>443</v>
      </c>
      <c r="B83" s="286" t="s">
        <v>444</v>
      </c>
      <c r="C83" s="287" t="s">
        <v>311</v>
      </c>
      <c r="D83" s="258">
        <f>25400*12</f>
        <v>304800</v>
      </c>
      <c r="E83" s="259">
        <f>25400*12</f>
        <v>304800</v>
      </c>
      <c r="G83" s="254"/>
      <c r="H83" s="254"/>
      <c r="I83" s="254"/>
      <c r="J83" s="254"/>
      <c r="K83" s="254"/>
      <c r="L83" s="254"/>
      <c r="M83" s="254"/>
      <c r="N83" s="254"/>
      <c r="O83" s="254"/>
    </row>
    <row r="84" spans="1:15" s="244" customFormat="1" x14ac:dyDescent="0.2">
      <c r="A84" s="295" t="s">
        <v>445</v>
      </c>
      <c r="B84" s="296" t="s">
        <v>446</v>
      </c>
      <c r="C84" s="287" t="s">
        <v>311</v>
      </c>
      <c r="D84" s="297">
        <v>78210</v>
      </c>
      <c r="E84" s="281">
        <v>0</v>
      </c>
      <c r="G84" s="250"/>
      <c r="H84" s="250"/>
      <c r="I84" s="250"/>
      <c r="J84" s="250"/>
      <c r="K84" s="250"/>
      <c r="L84" s="250"/>
      <c r="M84" s="250"/>
      <c r="N84" s="250"/>
      <c r="O84" s="250"/>
    </row>
    <row r="85" spans="1:15" s="244" customFormat="1" ht="25.5" x14ac:dyDescent="0.2">
      <c r="A85" s="295" t="s">
        <v>447</v>
      </c>
      <c r="B85" s="289" t="s">
        <v>448</v>
      </c>
      <c r="C85" s="287" t="s">
        <v>449</v>
      </c>
      <c r="D85" s="297">
        <f>280171453*1.27</f>
        <v>355817745.31</v>
      </c>
      <c r="E85" s="281">
        <v>0</v>
      </c>
      <c r="G85" s="250"/>
      <c r="H85" s="250"/>
      <c r="I85" s="250"/>
      <c r="J85" s="250"/>
      <c r="K85" s="250"/>
      <c r="L85" s="250"/>
      <c r="M85" s="250"/>
      <c r="N85" s="250"/>
      <c r="O85" s="250"/>
    </row>
    <row r="86" spans="1:15" s="244" customFormat="1" ht="25.5" x14ac:dyDescent="0.2">
      <c r="A86" s="295" t="s">
        <v>447</v>
      </c>
      <c r="B86" s="289" t="s">
        <v>450</v>
      </c>
      <c r="C86" s="287" t="s">
        <v>451</v>
      </c>
      <c r="D86" s="297">
        <f>142041835*1.27</f>
        <v>180393130.44999999</v>
      </c>
      <c r="E86" s="281">
        <v>0</v>
      </c>
      <c r="G86" s="250"/>
      <c r="H86" s="250"/>
      <c r="I86" s="250"/>
      <c r="J86" s="250"/>
      <c r="K86" s="250"/>
      <c r="L86" s="250"/>
      <c r="M86" s="250"/>
      <c r="N86" s="250"/>
      <c r="O86" s="250"/>
    </row>
    <row r="87" spans="1:15" s="244" customFormat="1" ht="25.5" x14ac:dyDescent="0.2">
      <c r="A87" s="295" t="s">
        <v>452</v>
      </c>
      <c r="B87" s="289" t="s">
        <v>453</v>
      </c>
      <c r="C87" s="287" t="s">
        <v>337</v>
      </c>
      <c r="D87" s="297">
        <f>1570000*1.27</f>
        <v>1993900</v>
      </c>
      <c r="E87" s="281">
        <v>0</v>
      </c>
      <c r="G87" s="250"/>
      <c r="H87" s="250"/>
      <c r="I87" s="250"/>
      <c r="J87" s="250"/>
      <c r="K87" s="250"/>
      <c r="L87" s="250"/>
      <c r="M87" s="250"/>
      <c r="N87" s="250"/>
      <c r="O87" s="250"/>
    </row>
    <row r="88" spans="1:15" s="253" customFormat="1" ht="38.25" x14ac:dyDescent="0.2">
      <c r="A88" s="295" t="s">
        <v>452</v>
      </c>
      <c r="B88" s="289" t="s">
        <v>454</v>
      </c>
      <c r="C88" s="287" t="s">
        <v>337</v>
      </c>
      <c r="D88" s="297">
        <v>2514600</v>
      </c>
      <c r="E88" s="281">
        <v>0</v>
      </c>
      <c r="G88" s="254"/>
      <c r="H88" s="254"/>
      <c r="I88" s="254"/>
      <c r="J88" s="254"/>
      <c r="K88" s="254"/>
      <c r="L88" s="254"/>
      <c r="M88" s="254"/>
      <c r="N88" s="254"/>
      <c r="O88" s="254"/>
    </row>
    <row r="89" spans="1:15" s="253" customFormat="1" x14ac:dyDescent="0.2">
      <c r="A89" s="295" t="s">
        <v>452</v>
      </c>
      <c r="B89" s="289" t="s">
        <v>455</v>
      </c>
      <c r="C89" s="287" t="s">
        <v>337</v>
      </c>
      <c r="D89" s="297">
        <f>2800000*1.27</f>
        <v>3556000</v>
      </c>
      <c r="E89" s="281">
        <v>0</v>
      </c>
      <c r="G89" s="254"/>
      <c r="H89" s="254"/>
      <c r="I89" s="254"/>
      <c r="J89" s="254"/>
      <c r="K89" s="254"/>
      <c r="L89" s="254"/>
      <c r="M89" s="254"/>
      <c r="N89" s="254"/>
      <c r="O89" s="254"/>
    </row>
    <row r="90" spans="1:15" s="244" customFormat="1" x14ac:dyDescent="0.2">
      <c r="A90" s="252" t="s">
        <v>456</v>
      </c>
      <c r="B90" s="286" t="s">
        <v>457</v>
      </c>
      <c r="C90" s="287" t="s">
        <v>311</v>
      </c>
      <c r="D90" s="258">
        <f>E90</f>
        <v>159646</v>
      </c>
      <c r="E90" s="259">
        <f>33996+125650</f>
        <v>159646</v>
      </c>
      <c r="G90" s="250"/>
      <c r="H90" s="250"/>
      <c r="I90" s="250"/>
      <c r="J90" s="250"/>
      <c r="K90" s="250"/>
      <c r="L90" s="250"/>
      <c r="M90" s="250"/>
      <c r="N90" s="250"/>
      <c r="O90" s="250"/>
    </row>
    <row r="91" spans="1:15" s="244" customFormat="1" x14ac:dyDescent="0.2">
      <c r="A91" s="252" t="s">
        <v>458</v>
      </c>
      <c r="B91" s="286" t="s">
        <v>459</v>
      </c>
      <c r="C91" s="287">
        <v>43738</v>
      </c>
      <c r="D91" s="258">
        <v>523875</v>
      </c>
      <c r="E91" s="259">
        <v>0</v>
      </c>
      <c r="G91" s="250"/>
      <c r="H91" s="250"/>
      <c r="I91" s="250"/>
      <c r="J91" s="250"/>
      <c r="K91" s="250"/>
      <c r="L91" s="250"/>
      <c r="M91" s="250"/>
      <c r="N91" s="250"/>
      <c r="O91" s="250"/>
    </row>
    <row r="92" spans="1:15" s="244" customFormat="1" ht="25.5" x14ac:dyDescent="0.2">
      <c r="A92" s="255" t="s">
        <v>460</v>
      </c>
      <c r="B92" s="266" t="s">
        <v>461</v>
      </c>
      <c r="C92" s="269" t="s">
        <v>311</v>
      </c>
      <c r="D92" s="258">
        <f>6383*12</f>
        <v>76596</v>
      </c>
      <c r="E92" s="259">
        <v>76622</v>
      </c>
      <c r="G92" s="250"/>
      <c r="H92" s="250"/>
      <c r="I92" s="250"/>
      <c r="J92" s="250"/>
      <c r="K92" s="250"/>
      <c r="L92" s="250"/>
      <c r="M92" s="250"/>
      <c r="N92" s="250"/>
      <c r="O92" s="250"/>
    </row>
    <row r="93" spans="1:15" s="244" customFormat="1" x14ac:dyDescent="0.2">
      <c r="A93" s="255" t="s">
        <v>462</v>
      </c>
      <c r="B93" s="256" t="s">
        <v>463</v>
      </c>
      <c r="C93" s="269" t="s">
        <v>311</v>
      </c>
      <c r="D93" s="258">
        <f>E93</f>
        <v>3090240</v>
      </c>
      <c r="E93" s="259">
        <v>3090240</v>
      </c>
      <c r="G93" s="250"/>
      <c r="H93" s="250"/>
      <c r="I93" s="250"/>
      <c r="J93" s="250"/>
      <c r="K93" s="250"/>
      <c r="L93" s="250"/>
      <c r="M93" s="250"/>
      <c r="N93" s="250"/>
      <c r="O93" s="250"/>
    </row>
    <row r="94" spans="1:15" s="244" customFormat="1" x14ac:dyDescent="0.2">
      <c r="A94" s="252" t="s">
        <v>464</v>
      </c>
      <c r="B94" s="256" t="s">
        <v>465</v>
      </c>
      <c r="C94" s="257" t="s">
        <v>321</v>
      </c>
      <c r="D94" s="258">
        <v>762000</v>
      </c>
      <c r="E94" s="259">
        <v>762000</v>
      </c>
      <c r="G94" s="250"/>
      <c r="H94" s="250"/>
      <c r="I94" s="250"/>
      <c r="J94" s="250"/>
      <c r="K94" s="250"/>
      <c r="L94" s="250"/>
      <c r="M94" s="250"/>
      <c r="N94" s="250"/>
      <c r="O94" s="250"/>
    </row>
    <row r="95" spans="1:15" s="253" customFormat="1" ht="13.5" x14ac:dyDescent="0.25">
      <c r="A95" s="252" t="s">
        <v>466</v>
      </c>
      <c r="B95" s="251" t="s">
        <v>467</v>
      </c>
      <c r="C95" s="257" t="s">
        <v>311</v>
      </c>
      <c r="D95" s="258">
        <f>E95</f>
        <v>440362</v>
      </c>
      <c r="E95" s="259">
        <v>440362</v>
      </c>
      <c r="G95" s="254"/>
      <c r="H95" s="254"/>
      <c r="I95" s="254"/>
      <c r="J95" s="254"/>
      <c r="K95" s="280"/>
      <c r="L95" s="254"/>
      <c r="M95" s="254"/>
      <c r="N95" s="254"/>
      <c r="O95" s="254"/>
    </row>
    <row r="96" spans="1:15" s="253" customFormat="1" x14ac:dyDescent="0.2">
      <c r="A96" s="255" t="s">
        <v>468</v>
      </c>
      <c r="B96" s="256" t="s">
        <v>469</v>
      </c>
      <c r="C96" s="269" t="s">
        <v>311</v>
      </c>
      <c r="D96" s="258">
        <v>360680</v>
      </c>
      <c r="E96" s="259">
        <v>411124</v>
      </c>
      <c r="G96" s="254"/>
      <c r="H96" s="254"/>
      <c r="I96" s="254"/>
      <c r="J96" s="254"/>
      <c r="K96" s="254"/>
      <c r="L96" s="254"/>
      <c r="M96" s="254"/>
      <c r="N96" s="254"/>
      <c r="O96" s="254"/>
    </row>
    <row r="97" spans="1:15" s="253" customFormat="1" x14ac:dyDescent="0.2">
      <c r="A97" s="255" t="s">
        <v>470</v>
      </c>
      <c r="B97" s="256" t="s">
        <v>366</v>
      </c>
      <c r="C97" s="269" t="s">
        <v>311</v>
      </c>
      <c r="D97" s="258">
        <f>E97</f>
        <v>229600</v>
      </c>
      <c r="E97" s="259">
        <v>229600</v>
      </c>
      <c r="G97" s="254"/>
      <c r="H97" s="254"/>
      <c r="I97" s="254"/>
      <c r="J97" s="254"/>
      <c r="K97" s="254"/>
      <c r="L97" s="254"/>
      <c r="M97" s="254"/>
      <c r="N97" s="254"/>
      <c r="O97" s="254"/>
    </row>
    <row r="98" spans="1:15" s="244" customFormat="1" x14ac:dyDescent="0.2">
      <c r="A98" s="255" t="s">
        <v>471</v>
      </c>
      <c r="B98" s="256" t="s">
        <v>472</v>
      </c>
      <c r="C98" s="269" t="s">
        <v>311</v>
      </c>
      <c r="D98" s="258">
        <f>1905*12</f>
        <v>22860</v>
      </c>
      <c r="E98" s="259">
        <v>23051</v>
      </c>
      <c r="G98" s="250"/>
      <c r="H98" s="250"/>
      <c r="I98" s="250"/>
      <c r="J98" s="250"/>
      <c r="K98" s="250"/>
      <c r="L98" s="250"/>
      <c r="M98" s="250"/>
      <c r="N98" s="250"/>
      <c r="O98" s="250"/>
    </row>
    <row r="99" spans="1:15" s="253" customFormat="1" ht="25.5" x14ac:dyDescent="0.2">
      <c r="A99" s="255" t="s">
        <v>473</v>
      </c>
      <c r="B99" s="266" t="s">
        <v>474</v>
      </c>
      <c r="C99" s="257" t="s">
        <v>311</v>
      </c>
      <c r="D99" s="258">
        <f>(1250000*1.27)*2</f>
        <v>3175000</v>
      </c>
      <c r="E99" s="259">
        <v>3175000</v>
      </c>
      <c r="G99" s="254"/>
      <c r="K99" s="254"/>
      <c r="L99" s="254"/>
      <c r="M99" s="254"/>
      <c r="N99" s="254"/>
      <c r="O99" s="254"/>
    </row>
    <row r="100" spans="1:15" s="253" customFormat="1" ht="25.5" x14ac:dyDescent="0.2">
      <c r="A100" s="255" t="s">
        <v>473</v>
      </c>
      <c r="B100" s="266" t="s">
        <v>475</v>
      </c>
      <c r="C100" s="257">
        <v>44742</v>
      </c>
      <c r="D100" s="258">
        <f>2498400*1.27</f>
        <v>3172968</v>
      </c>
      <c r="E100" s="259">
        <v>0</v>
      </c>
      <c r="G100" s="254"/>
      <c r="K100" s="254"/>
      <c r="L100" s="254"/>
      <c r="M100" s="254"/>
      <c r="N100" s="254"/>
      <c r="O100" s="254"/>
    </row>
    <row r="101" spans="1:15" s="253" customFormat="1" x14ac:dyDescent="0.2">
      <c r="A101" s="252" t="s">
        <v>476</v>
      </c>
      <c r="B101" s="251" t="s">
        <v>477</v>
      </c>
      <c r="C101" s="257" t="s">
        <v>311</v>
      </c>
      <c r="D101" s="258">
        <f>E101</f>
        <v>2217437</v>
      </c>
      <c r="E101" s="259">
        <v>2217437</v>
      </c>
      <c r="G101" s="254"/>
      <c r="H101" s="254"/>
      <c r="I101" s="254"/>
      <c r="J101" s="254"/>
      <c r="K101" s="254"/>
      <c r="L101" s="254"/>
      <c r="M101" s="254"/>
      <c r="N101" s="254"/>
      <c r="O101" s="254"/>
    </row>
    <row r="102" spans="1:15" s="253" customFormat="1" ht="25.5" x14ac:dyDescent="0.2">
      <c r="A102" s="252" t="s">
        <v>478</v>
      </c>
      <c r="B102" s="266" t="s">
        <v>479</v>
      </c>
      <c r="C102" s="257">
        <v>45077</v>
      </c>
      <c r="D102" s="285">
        <f>5*48000</f>
        <v>240000</v>
      </c>
      <c r="E102" s="259">
        <v>1314000</v>
      </c>
      <c r="F102" s="298"/>
      <c r="G102" s="254"/>
      <c r="H102" s="254"/>
      <c r="I102" s="254"/>
      <c r="J102" s="254"/>
      <c r="K102" s="254"/>
      <c r="L102" s="254"/>
      <c r="M102" s="254"/>
      <c r="N102" s="254"/>
      <c r="O102" s="254"/>
    </row>
    <row r="103" spans="1:15" s="253" customFormat="1" ht="25.5" x14ac:dyDescent="0.2">
      <c r="A103" s="252" t="s">
        <v>478</v>
      </c>
      <c r="B103" s="266" t="s">
        <v>480</v>
      </c>
      <c r="C103" s="257">
        <v>45107</v>
      </c>
      <c r="D103" s="285">
        <f>64500*6</f>
        <v>387000</v>
      </c>
      <c r="E103" s="259">
        <v>1767900</v>
      </c>
      <c r="F103" s="298"/>
      <c r="G103" s="254"/>
      <c r="H103" s="254"/>
      <c r="I103" s="254"/>
      <c r="J103" s="254"/>
      <c r="K103" s="254"/>
      <c r="L103" s="254"/>
      <c r="M103" s="254"/>
      <c r="N103" s="254"/>
      <c r="O103" s="254"/>
    </row>
    <row r="104" spans="1:15" s="253" customFormat="1" ht="25.5" x14ac:dyDescent="0.2">
      <c r="A104" s="252" t="s">
        <v>478</v>
      </c>
      <c r="B104" s="266" t="s">
        <v>481</v>
      </c>
      <c r="C104" s="257">
        <v>45092</v>
      </c>
      <c r="D104" s="285">
        <f>101500*5.5</f>
        <v>558250</v>
      </c>
      <c r="E104" s="259">
        <v>2784100</v>
      </c>
      <c r="F104" s="298"/>
      <c r="G104" s="254"/>
      <c r="H104" s="254"/>
      <c r="I104" s="254"/>
      <c r="J104" s="254"/>
      <c r="K104" s="254"/>
      <c r="L104" s="254"/>
      <c r="M104" s="254"/>
      <c r="N104" s="254"/>
      <c r="O104" s="254"/>
    </row>
    <row r="105" spans="1:15" s="253" customFormat="1" x14ac:dyDescent="0.2">
      <c r="A105" s="255" t="s">
        <v>482</v>
      </c>
      <c r="B105" s="272" t="s">
        <v>483</v>
      </c>
      <c r="C105" s="257" t="s">
        <v>311</v>
      </c>
      <c r="D105" s="285">
        <f>E105</f>
        <v>295000</v>
      </c>
      <c r="E105" s="259">
        <v>295000</v>
      </c>
      <c r="F105" s="298"/>
      <c r="G105" s="254"/>
      <c r="H105" s="254"/>
      <c r="I105" s="254"/>
      <c r="J105" s="254"/>
      <c r="K105" s="254"/>
      <c r="L105" s="254"/>
      <c r="M105" s="254"/>
      <c r="N105" s="254"/>
      <c r="O105" s="254"/>
    </row>
    <row r="106" spans="1:15" s="253" customFormat="1" ht="25.5" x14ac:dyDescent="0.2">
      <c r="A106" s="255" t="s">
        <v>484</v>
      </c>
      <c r="B106" s="299" t="s">
        <v>485</v>
      </c>
      <c r="C106" s="257" t="s">
        <v>311</v>
      </c>
      <c r="D106" s="258">
        <f>E106</f>
        <v>1657937</v>
      </c>
      <c r="E106" s="259">
        <f>14307+577025+60696+227001+572250+10404+196254</f>
        <v>1657937</v>
      </c>
      <c r="G106" s="254"/>
      <c r="H106" s="254"/>
      <c r="I106" s="254"/>
      <c r="J106" s="254"/>
      <c r="K106" s="254"/>
      <c r="L106" s="254"/>
      <c r="M106" s="254"/>
      <c r="N106" s="254"/>
      <c r="O106" s="254"/>
    </row>
    <row r="107" spans="1:15" s="253" customFormat="1" x14ac:dyDescent="0.2">
      <c r="A107" s="255" t="s">
        <v>486</v>
      </c>
      <c r="B107" s="272" t="s">
        <v>487</v>
      </c>
      <c r="C107" s="257" t="s">
        <v>311</v>
      </c>
      <c r="D107" s="258">
        <f>E107*2</f>
        <v>22472</v>
      </c>
      <c r="E107" s="259">
        <v>11236</v>
      </c>
      <c r="G107" s="254"/>
      <c r="H107" s="254"/>
      <c r="I107" s="254"/>
      <c r="J107" s="254"/>
      <c r="K107" s="254"/>
      <c r="L107" s="254"/>
      <c r="M107" s="254"/>
      <c r="N107" s="254"/>
      <c r="O107" s="254"/>
    </row>
    <row r="108" spans="1:15" s="253" customFormat="1" x14ac:dyDescent="0.2">
      <c r="A108" s="255" t="s">
        <v>486</v>
      </c>
      <c r="B108" s="272" t="s">
        <v>488</v>
      </c>
      <c r="C108" s="257" t="s">
        <v>311</v>
      </c>
      <c r="D108" s="258">
        <f>E108</f>
        <v>33954</v>
      </c>
      <c r="E108" s="259">
        <v>33954</v>
      </c>
      <c r="G108" s="254"/>
      <c r="H108" s="254"/>
      <c r="I108" s="254"/>
      <c r="J108" s="254"/>
      <c r="K108" s="254"/>
      <c r="L108" s="254"/>
      <c r="M108" s="254"/>
      <c r="N108" s="254"/>
      <c r="O108" s="254"/>
    </row>
    <row r="109" spans="1:15" s="253" customFormat="1" x14ac:dyDescent="0.2">
      <c r="A109" s="252" t="s">
        <v>489</v>
      </c>
      <c r="B109" s="251" t="s">
        <v>490</v>
      </c>
      <c r="C109" s="257" t="s">
        <v>311</v>
      </c>
      <c r="D109" s="258">
        <f>7900*12</f>
        <v>94800</v>
      </c>
      <c r="E109" s="259">
        <v>31600</v>
      </c>
      <c r="G109" s="254"/>
      <c r="H109" s="254"/>
      <c r="I109" s="254"/>
      <c r="J109" s="254"/>
      <c r="K109" s="254"/>
      <c r="L109" s="254"/>
      <c r="M109" s="254"/>
      <c r="N109" s="254"/>
      <c r="O109" s="254"/>
    </row>
    <row r="110" spans="1:15" s="253" customFormat="1" ht="25.5" x14ac:dyDescent="0.2">
      <c r="A110" s="255" t="s">
        <v>491</v>
      </c>
      <c r="B110" s="266" t="s">
        <v>492</v>
      </c>
      <c r="C110" s="257">
        <v>45199</v>
      </c>
      <c r="D110" s="258">
        <f>9*150000</f>
        <v>1350000</v>
      </c>
      <c r="E110" s="259">
        <f>(11*150000)+(2*125000)</f>
        <v>1900000</v>
      </c>
      <c r="G110" s="254"/>
      <c r="H110" s="254"/>
      <c r="I110" s="254"/>
      <c r="J110" s="254"/>
      <c r="K110" s="254"/>
      <c r="L110" s="254"/>
      <c r="M110" s="254"/>
      <c r="N110" s="254"/>
      <c r="O110" s="254"/>
    </row>
    <row r="111" spans="1:15" s="244" customFormat="1" x14ac:dyDescent="0.2">
      <c r="A111" s="255" t="s">
        <v>493</v>
      </c>
      <c r="B111" s="251" t="s">
        <v>494</v>
      </c>
      <c r="C111" s="257">
        <v>44749</v>
      </c>
      <c r="D111" s="258">
        <v>0</v>
      </c>
      <c r="E111" s="259">
        <v>262000</v>
      </c>
      <c r="G111" s="250"/>
      <c r="H111" s="250"/>
      <c r="I111" s="250"/>
      <c r="J111" s="250"/>
      <c r="K111" s="250"/>
      <c r="L111" s="250"/>
      <c r="M111" s="250"/>
      <c r="N111" s="250"/>
      <c r="O111" s="250"/>
    </row>
    <row r="112" spans="1:15" s="253" customFormat="1" x14ac:dyDescent="0.2">
      <c r="A112" s="255" t="s">
        <v>495</v>
      </c>
      <c r="B112" s="251" t="s">
        <v>496</v>
      </c>
      <c r="C112" s="257" t="s">
        <v>311</v>
      </c>
      <c r="D112" s="258">
        <f>E112</f>
        <v>134645</v>
      </c>
      <c r="E112" s="259">
        <f>70000+64645</f>
        <v>134645</v>
      </c>
      <c r="G112" s="254"/>
      <c r="H112" s="254"/>
      <c r="I112" s="254"/>
      <c r="J112" s="254"/>
      <c r="K112" s="254"/>
      <c r="L112" s="254"/>
      <c r="M112" s="254"/>
      <c r="N112" s="254"/>
      <c r="O112" s="254"/>
    </row>
    <row r="113" spans="1:15" s="244" customFormat="1" x14ac:dyDescent="0.2">
      <c r="A113" s="255" t="s">
        <v>497</v>
      </c>
      <c r="B113" s="272" t="s">
        <v>498</v>
      </c>
      <c r="C113" s="257">
        <v>45498</v>
      </c>
      <c r="D113" s="258">
        <f>E113+E111</f>
        <v>577000</v>
      </c>
      <c r="E113" s="259">
        <v>315000</v>
      </c>
      <c r="G113" s="250"/>
      <c r="H113" s="250"/>
      <c r="I113" s="250"/>
      <c r="J113" s="250"/>
      <c r="K113" s="250"/>
      <c r="L113" s="250"/>
      <c r="M113" s="250"/>
      <c r="N113" s="250"/>
      <c r="O113" s="250"/>
    </row>
    <row r="114" spans="1:15" s="253" customFormat="1" ht="13.5" x14ac:dyDescent="0.25">
      <c r="A114" s="260" t="s">
        <v>499</v>
      </c>
      <c r="B114" s="277" t="s">
        <v>344</v>
      </c>
      <c r="C114" s="262" t="s">
        <v>311</v>
      </c>
      <c r="D114" s="263">
        <f>E114</f>
        <v>130544</v>
      </c>
      <c r="E114" s="264">
        <v>130544</v>
      </c>
      <c r="G114" s="254"/>
      <c r="H114" s="254"/>
      <c r="I114" s="280"/>
      <c r="J114" s="254"/>
      <c r="K114" s="254"/>
      <c r="L114" s="254"/>
      <c r="M114" s="254"/>
      <c r="N114" s="254"/>
      <c r="O114" s="254"/>
    </row>
    <row r="115" spans="1:15" s="244" customFormat="1" x14ac:dyDescent="0.2">
      <c r="A115" s="271" t="s">
        <v>500</v>
      </c>
      <c r="B115" s="296" t="s">
        <v>501</v>
      </c>
      <c r="C115" s="287"/>
      <c r="D115" s="258">
        <v>13555340</v>
      </c>
      <c r="E115" s="284">
        <v>0</v>
      </c>
      <c r="G115" s="250"/>
      <c r="H115" s="250"/>
      <c r="I115" s="250"/>
      <c r="J115" s="250"/>
      <c r="K115" s="250"/>
      <c r="L115" s="250"/>
      <c r="M115" s="250"/>
      <c r="N115" s="250"/>
      <c r="O115" s="250"/>
    </row>
    <row r="116" spans="1:15" s="244" customFormat="1" ht="25.5" x14ac:dyDescent="0.2">
      <c r="A116" s="271" t="s">
        <v>502</v>
      </c>
      <c r="B116" s="289" t="s">
        <v>503</v>
      </c>
      <c r="C116" s="287" t="s">
        <v>504</v>
      </c>
      <c r="D116" s="258">
        <v>368300</v>
      </c>
      <c r="E116" s="284">
        <v>0</v>
      </c>
      <c r="G116" s="250"/>
      <c r="H116" s="250"/>
      <c r="I116" s="250"/>
      <c r="J116" s="250"/>
      <c r="K116" s="250"/>
      <c r="L116" s="250"/>
      <c r="M116" s="250"/>
      <c r="N116" s="250"/>
      <c r="O116" s="250"/>
    </row>
    <row r="117" spans="1:15" s="244" customFormat="1" x14ac:dyDescent="0.2">
      <c r="A117" s="251" t="s">
        <v>505</v>
      </c>
      <c r="B117" s="289" t="s">
        <v>366</v>
      </c>
      <c r="C117" s="287" t="s">
        <v>311</v>
      </c>
      <c r="D117" s="258">
        <f>(E117/8)*12</f>
        <v>33604.5</v>
      </c>
      <c r="E117" s="284">
        <v>22403</v>
      </c>
      <c r="G117" s="250"/>
      <c r="H117" s="250"/>
      <c r="I117" s="250"/>
      <c r="J117" s="250"/>
      <c r="K117" s="250"/>
      <c r="L117" s="250"/>
      <c r="M117" s="250"/>
      <c r="N117" s="250"/>
      <c r="O117" s="250"/>
    </row>
    <row r="118" spans="1:15" s="253" customFormat="1" ht="25.5" x14ac:dyDescent="0.2">
      <c r="A118" s="300" t="s">
        <v>506</v>
      </c>
      <c r="B118" s="251" t="s">
        <v>366</v>
      </c>
      <c r="C118" s="287" t="s">
        <v>311</v>
      </c>
      <c r="D118" s="258">
        <f>E118</f>
        <v>114800</v>
      </c>
      <c r="E118" s="284">
        <v>114800</v>
      </c>
      <c r="G118" s="254"/>
      <c r="H118" s="254"/>
      <c r="I118" s="254"/>
      <c r="J118" s="254"/>
      <c r="K118" s="254"/>
      <c r="L118" s="254"/>
      <c r="M118" s="254"/>
      <c r="N118" s="254"/>
      <c r="O118" s="254"/>
    </row>
    <row r="119" spans="1:15" s="253" customFormat="1" ht="25.5" x14ac:dyDescent="0.2">
      <c r="A119" s="295" t="s">
        <v>507</v>
      </c>
      <c r="B119" s="289" t="s">
        <v>508</v>
      </c>
      <c r="C119" s="287" t="s">
        <v>311</v>
      </c>
      <c r="D119" s="297">
        <f>E119</f>
        <v>886202</v>
      </c>
      <c r="E119" s="281">
        <v>886202</v>
      </c>
      <c r="G119" s="254"/>
      <c r="H119" s="254"/>
      <c r="I119" s="254"/>
      <c r="J119" s="254"/>
      <c r="K119" s="254"/>
      <c r="L119" s="254"/>
      <c r="M119" s="254"/>
      <c r="N119" s="254"/>
      <c r="O119" s="254"/>
    </row>
    <row r="120" spans="1:15" s="253" customFormat="1" x14ac:dyDescent="0.2">
      <c r="A120" s="301" t="s">
        <v>509</v>
      </c>
      <c r="B120" s="302" t="s">
        <v>510</v>
      </c>
      <c r="C120" s="303" t="s">
        <v>311</v>
      </c>
      <c r="D120" s="304">
        <f>E120</f>
        <v>64650</v>
      </c>
      <c r="E120" s="305">
        <v>64650</v>
      </c>
      <c r="G120" s="254"/>
      <c r="H120" s="254"/>
      <c r="I120" s="254"/>
      <c r="J120" s="254"/>
      <c r="K120" s="254"/>
      <c r="L120" s="254"/>
      <c r="M120" s="254"/>
      <c r="N120" s="254"/>
      <c r="O120" s="254"/>
    </row>
    <row r="121" spans="1:15" s="253" customFormat="1" x14ac:dyDescent="0.2">
      <c r="A121" s="252" t="s">
        <v>511</v>
      </c>
      <c r="B121" s="251" t="s">
        <v>512</v>
      </c>
      <c r="C121" s="287" t="s">
        <v>311</v>
      </c>
      <c r="D121" s="297">
        <f>E121</f>
        <v>2752523</v>
      </c>
      <c r="E121" s="281">
        <v>2752523</v>
      </c>
      <c r="G121" s="254"/>
      <c r="H121" s="254"/>
      <c r="I121" s="254"/>
      <c r="J121" s="254"/>
      <c r="K121" s="254"/>
      <c r="L121" s="254"/>
      <c r="M121" s="254"/>
      <c r="N121" s="254"/>
      <c r="O121" s="254"/>
    </row>
    <row r="122" spans="1:15" s="253" customFormat="1" x14ac:dyDescent="0.2">
      <c r="A122" s="306" t="s">
        <v>513</v>
      </c>
      <c r="B122" s="261" t="s">
        <v>386</v>
      </c>
      <c r="C122" s="303">
        <v>45291</v>
      </c>
      <c r="D122" s="304">
        <v>1699000</v>
      </c>
      <c r="E122" s="305">
        <v>0</v>
      </c>
      <c r="G122" s="254"/>
      <c r="H122" s="254"/>
      <c r="I122" s="254"/>
      <c r="J122" s="254"/>
      <c r="K122" s="254"/>
      <c r="L122" s="254"/>
      <c r="M122" s="254"/>
      <c r="N122" s="254"/>
      <c r="O122" s="254"/>
    </row>
    <row r="123" spans="1:15" s="253" customFormat="1" ht="25.5" x14ac:dyDescent="0.2">
      <c r="A123" s="295" t="s">
        <v>514</v>
      </c>
      <c r="B123" s="289" t="s">
        <v>515</v>
      </c>
      <c r="C123" s="307"/>
      <c r="D123" s="297">
        <f>130000*12</f>
        <v>1560000</v>
      </c>
      <c r="E123" s="281">
        <v>1207950</v>
      </c>
      <c r="G123" s="254"/>
      <c r="H123" s="254"/>
      <c r="I123" s="254"/>
      <c r="J123" s="254"/>
      <c r="K123" s="254"/>
      <c r="L123" s="254"/>
      <c r="M123" s="254"/>
      <c r="N123" s="254"/>
      <c r="O123" s="254"/>
    </row>
    <row r="124" spans="1:15" s="244" customFormat="1" x14ac:dyDescent="0.2">
      <c r="A124" s="295" t="s">
        <v>514</v>
      </c>
      <c r="B124" s="296" t="s">
        <v>516</v>
      </c>
      <c r="C124" s="287">
        <v>43874</v>
      </c>
      <c r="D124" s="297">
        <f>E124</f>
        <v>474010</v>
      </c>
      <c r="E124" s="281">
        <v>474010</v>
      </c>
      <c r="G124" s="250"/>
      <c r="H124" s="250"/>
      <c r="I124" s="250"/>
      <c r="J124" s="250"/>
      <c r="K124" s="250"/>
      <c r="L124" s="250"/>
      <c r="M124" s="250"/>
      <c r="N124" s="250"/>
      <c r="O124" s="250"/>
    </row>
    <row r="125" spans="1:15" s="244" customFormat="1" x14ac:dyDescent="0.2">
      <c r="A125" s="295" t="s">
        <v>517</v>
      </c>
      <c r="B125" s="296" t="s">
        <v>518</v>
      </c>
      <c r="C125" s="287">
        <v>46295</v>
      </c>
      <c r="D125" s="297">
        <f>E125</f>
        <v>93068139</v>
      </c>
      <c r="E125" s="281">
        <v>93068139</v>
      </c>
      <c r="G125" s="250"/>
      <c r="H125" s="250"/>
      <c r="I125" s="250"/>
      <c r="J125" s="250"/>
      <c r="K125" s="250"/>
      <c r="L125" s="250"/>
      <c r="M125" s="250"/>
      <c r="N125" s="250"/>
      <c r="O125" s="250"/>
    </row>
    <row r="126" spans="1:15" s="244" customFormat="1" x14ac:dyDescent="0.2">
      <c r="A126" s="295" t="s">
        <v>519</v>
      </c>
      <c r="B126" s="296" t="s">
        <v>520</v>
      </c>
      <c r="C126" s="287">
        <v>45016</v>
      </c>
      <c r="D126" s="297">
        <f>E126*2</f>
        <v>3104448</v>
      </c>
      <c r="E126" s="281">
        <v>1552224</v>
      </c>
      <c r="G126" s="250"/>
      <c r="H126" s="250"/>
      <c r="I126" s="250"/>
      <c r="J126" s="250"/>
      <c r="K126" s="250"/>
      <c r="L126" s="250"/>
      <c r="M126" s="250"/>
      <c r="N126" s="250"/>
      <c r="O126" s="250"/>
    </row>
    <row r="127" spans="1:15" s="244" customFormat="1" x14ac:dyDescent="0.2">
      <c r="A127" s="295" t="s">
        <v>521</v>
      </c>
      <c r="B127" s="296" t="s">
        <v>522</v>
      </c>
      <c r="C127" s="287" t="s">
        <v>311</v>
      </c>
      <c r="D127" s="297">
        <f>E127</f>
        <v>130680</v>
      </c>
      <c r="E127" s="281">
        <v>130680</v>
      </c>
      <c r="G127" s="250"/>
      <c r="H127" s="250"/>
      <c r="I127" s="250"/>
      <c r="J127" s="250"/>
      <c r="K127" s="250"/>
      <c r="L127" s="250"/>
      <c r="M127" s="250"/>
      <c r="N127" s="250"/>
      <c r="O127" s="250"/>
    </row>
    <row r="128" spans="1:15" s="244" customFormat="1" x14ac:dyDescent="0.2">
      <c r="A128" s="295" t="s">
        <v>523</v>
      </c>
      <c r="B128" s="296" t="s">
        <v>524</v>
      </c>
      <c r="C128" s="287" t="s">
        <v>311</v>
      </c>
      <c r="D128" s="297">
        <f>E128</f>
        <v>23100</v>
      </c>
      <c r="E128" s="281">
        <v>23100</v>
      </c>
      <c r="G128" s="250"/>
      <c r="H128" s="250"/>
      <c r="I128" s="250"/>
      <c r="J128" s="250"/>
      <c r="K128" s="250"/>
      <c r="L128" s="250"/>
      <c r="M128" s="250"/>
      <c r="N128" s="250"/>
      <c r="O128" s="250"/>
    </row>
    <row r="129" spans="1:15" s="244" customFormat="1" ht="25.5" x14ac:dyDescent="0.2">
      <c r="A129" s="308" t="s">
        <v>525</v>
      </c>
      <c r="B129" s="309" t="s">
        <v>526</v>
      </c>
      <c r="C129" s="310" t="s">
        <v>311</v>
      </c>
      <c r="D129" s="258">
        <f>E129</f>
        <v>271560</v>
      </c>
      <c r="E129" s="259">
        <v>271560</v>
      </c>
      <c r="G129" s="250"/>
      <c r="H129" s="250"/>
      <c r="I129" s="250"/>
      <c r="J129" s="250"/>
      <c r="K129" s="250"/>
      <c r="L129" s="250"/>
      <c r="M129" s="250"/>
      <c r="N129" s="250"/>
      <c r="O129" s="250"/>
    </row>
    <row r="130" spans="1:15" s="311" customFormat="1" x14ac:dyDescent="0.2">
      <c r="A130" s="301" t="s">
        <v>527</v>
      </c>
      <c r="B130" s="302" t="s">
        <v>528</v>
      </c>
      <c r="C130" s="303" t="s">
        <v>311</v>
      </c>
      <c r="D130" s="304">
        <f>52610*12</f>
        <v>631320</v>
      </c>
      <c r="E130" s="305">
        <v>607720</v>
      </c>
      <c r="G130" s="312"/>
      <c r="H130" s="312"/>
      <c r="I130" s="312"/>
      <c r="J130" s="312"/>
      <c r="K130" s="312"/>
      <c r="L130" s="312"/>
      <c r="M130" s="312"/>
      <c r="N130" s="312"/>
      <c r="O130" s="312"/>
    </row>
    <row r="131" spans="1:15" s="253" customFormat="1" ht="25.5" x14ac:dyDescent="0.2">
      <c r="A131" s="295" t="s">
        <v>529</v>
      </c>
      <c r="B131" s="289" t="s">
        <v>530</v>
      </c>
      <c r="C131" s="287" t="s">
        <v>531</v>
      </c>
      <c r="D131" s="297">
        <f>5461000-E131</f>
        <v>3276600</v>
      </c>
      <c r="E131" s="281">
        <v>2184400</v>
      </c>
      <c r="G131" s="254"/>
      <c r="H131" s="254"/>
      <c r="I131" s="254"/>
      <c r="J131" s="254"/>
      <c r="K131" s="254"/>
      <c r="L131" s="254"/>
      <c r="M131" s="254"/>
      <c r="N131" s="254"/>
      <c r="O131" s="254"/>
    </row>
    <row r="132" spans="1:15" s="253" customFormat="1" ht="25.5" x14ac:dyDescent="0.2">
      <c r="A132" s="295" t="s">
        <v>529</v>
      </c>
      <c r="B132" s="289" t="s">
        <v>532</v>
      </c>
      <c r="C132" s="287" t="s">
        <v>531</v>
      </c>
      <c r="D132" s="297">
        <f>6604000-E132</f>
        <v>3962400</v>
      </c>
      <c r="E132" s="281">
        <v>2641600</v>
      </c>
      <c r="G132" s="254"/>
      <c r="H132" s="254"/>
      <c r="I132" s="254"/>
      <c r="J132" s="254"/>
      <c r="K132" s="254"/>
      <c r="L132" s="254"/>
      <c r="M132" s="254"/>
      <c r="N132" s="254"/>
      <c r="O132" s="254"/>
    </row>
    <row r="133" spans="1:15" s="244" customFormat="1" ht="25.5" x14ac:dyDescent="0.2">
      <c r="A133" s="295" t="s">
        <v>529</v>
      </c>
      <c r="B133" s="289" t="s">
        <v>533</v>
      </c>
      <c r="C133" s="287" t="s">
        <v>531</v>
      </c>
      <c r="D133" s="297">
        <f>8890000-E133</f>
        <v>5334000</v>
      </c>
      <c r="E133" s="281">
        <v>3556000</v>
      </c>
      <c r="G133" s="250"/>
      <c r="H133" s="250"/>
      <c r="I133" s="250"/>
      <c r="J133" s="250"/>
      <c r="K133" s="250"/>
      <c r="L133" s="250"/>
      <c r="M133" s="250"/>
      <c r="N133" s="250"/>
      <c r="O133" s="250"/>
    </row>
    <row r="134" spans="1:15" s="244" customFormat="1" x14ac:dyDescent="0.2">
      <c r="A134" s="295" t="s">
        <v>534</v>
      </c>
      <c r="B134" s="289" t="s">
        <v>366</v>
      </c>
      <c r="C134" s="287" t="s">
        <v>311</v>
      </c>
      <c r="D134" s="297">
        <f>E134</f>
        <v>337820</v>
      </c>
      <c r="E134" s="281">
        <v>337820</v>
      </c>
      <c r="G134" s="250"/>
      <c r="H134" s="250"/>
      <c r="I134" s="250"/>
      <c r="J134" s="250"/>
      <c r="K134" s="250"/>
      <c r="L134" s="250"/>
      <c r="M134" s="250"/>
      <c r="N134" s="250"/>
      <c r="O134" s="250"/>
    </row>
    <row r="135" spans="1:15" s="244" customFormat="1" x14ac:dyDescent="0.2">
      <c r="A135" s="308" t="s">
        <v>535</v>
      </c>
      <c r="B135" s="251" t="s">
        <v>536</v>
      </c>
      <c r="C135" s="257" t="s">
        <v>537</v>
      </c>
      <c r="D135" s="258">
        <f>E135</f>
        <v>2075027</v>
      </c>
      <c r="E135" s="284">
        <f>1980027+95000</f>
        <v>2075027</v>
      </c>
      <c r="G135" s="250"/>
      <c r="H135" s="250"/>
      <c r="I135" s="250"/>
      <c r="J135" s="250"/>
      <c r="K135" s="250"/>
      <c r="L135" s="250"/>
      <c r="M135" s="250"/>
      <c r="N135" s="250"/>
      <c r="O135" s="250"/>
    </row>
    <row r="136" spans="1:15" s="253" customFormat="1" x14ac:dyDescent="0.2">
      <c r="A136" s="255" t="s">
        <v>538</v>
      </c>
      <c r="B136" s="256" t="s">
        <v>539</v>
      </c>
      <c r="C136" s="257" t="s">
        <v>311</v>
      </c>
      <c r="D136" s="258">
        <f>2008837*12</f>
        <v>24106044</v>
      </c>
      <c r="E136" s="259">
        <v>24106044</v>
      </c>
      <c r="G136" s="254"/>
      <c r="H136" s="254"/>
      <c r="I136" s="254"/>
      <c r="J136" s="254"/>
      <c r="K136" s="254"/>
      <c r="L136" s="254"/>
      <c r="M136" s="254"/>
      <c r="N136" s="254"/>
      <c r="O136" s="254"/>
    </row>
    <row r="137" spans="1:15" s="244" customFormat="1" ht="25.5" x14ac:dyDescent="0.2">
      <c r="A137" s="255" t="s">
        <v>540</v>
      </c>
      <c r="B137" s="266" t="s">
        <v>541</v>
      </c>
      <c r="C137" s="257"/>
      <c r="D137" s="258">
        <v>100000</v>
      </c>
      <c r="E137" s="259">
        <v>0</v>
      </c>
      <c r="G137" s="250"/>
      <c r="H137" s="250"/>
      <c r="I137" s="250"/>
      <c r="J137" s="250"/>
      <c r="K137" s="250"/>
      <c r="L137" s="250"/>
      <c r="M137" s="250"/>
      <c r="N137" s="250"/>
      <c r="O137" s="250"/>
    </row>
    <row r="138" spans="1:15" s="253" customFormat="1" ht="25.5" x14ac:dyDescent="0.2">
      <c r="A138" s="255" t="s">
        <v>542</v>
      </c>
      <c r="B138" s="265" t="s">
        <v>543</v>
      </c>
      <c r="C138" s="257" t="s">
        <v>321</v>
      </c>
      <c r="D138" s="258">
        <f>12*250000</f>
        <v>3000000</v>
      </c>
      <c r="E138" s="259">
        <v>2950000</v>
      </c>
      <c r="G138" s="254"/>
      <c r="H138" s="254"/>
      <c r="I138" s="254"/>
      <c r="J138" s="254"/>
      <c r="K138" s="254"/>
      <c r="L138" s="254"/>
      <c r="M138" s="254"/>
      <c r="N138" s="254"/>
      <c r="O138" s="254"/>
    </row>
    <row r="139" spans="1:15" s="253" customFormat="1" x14ac:dyDescent="0.2">
      <c r="A139" s="255" t="s">
        <v>542</v>
      </c>
      <c r="B139" s="265" t="s">
        <v>544</v>
      </c>
      <c r="C139" s="257" t="s">
        <v>408</v>
      </c>
      <c r="D139" s="258">
        <v>88000</v>
      </c>
      <c r="E139" s="259">
        <v>197000</v>
      </c>
      <c r="G139" s="254"/>
      <c r="H139" s="254"/>
      <c r="I139" s="254"/>
      <c r="J139" s="254"/>
      <c r="K139" s="254"/>
      <c r="L139" s="254"/>
      <c r="M139" s="254"/>
      <c r="N139" s="254"/>
      <c r="O139" s="254"/>
    </row>
    <row r="140" spans="1:15" s="253" customFormat="1" ht="25.5" x14ac:dyDescent="0.2">
      <c r="A140" s="255" t="s">
        <v>542</v>
      </c>
      <c r="B140" s="265" t="s">
        <v>545</v>
      </c>
      <c r="C140" s="257" t="s">
        <v>408</v>
      </c>
      <c r="D140" s="258">
        <v>31500</v>
      </c>
      <c r="E140" s="259">
        <v>479000</v>
      </c>
      <c r="G140" s="254"/>
      <c r="H140" s="254"/>
      <c r="I140" s="254"/>
      <c r="J140" s="254"/>
      <c r="K140" s="254"/>
      <c r="L140" s="254"/>
      <c r="M140" s="254"/>
      <c r="N140" s="254"/>
      <c r="O140" s="254"/>
    </row>
    <row r="141" spans="1:15" s="253" customFormat="1" x14ac:dyDescent="0.2">
      <c r="A141" s="255" t="s">
        <v>542</v>
      </c>
      <c r="B141" s="265" t="s">
        <v>546</v>
      </c>
      <c r="C141" s="257" t="s">
        <v>408</v>
      </c>
      <c r="D141" s="258">
        <v>153550</v>
      </c>
      <c r="E141" s="259">
        <v>489550</v>
      </c>
      <c r="G141" s="254"/>
      <c r="H141" s="254"/>
      <c r="I141" s="254"/>
      <c r="J141" s="254"/>
      <c r="K141" s="254"/>
      <c r="L141" s="254"/>
      <c r="M141" s="254"/>
      <c r="N141" s="254"/>
      <c r="O141" s="254"/>
    </row>
    <row r="142" spans="1:15" s="253" customFormat="1" x14ac:dyDescent="0.2">
      <c r="A142" s="255" t="s">
        <v>547</v>
      </c>
      <c r="B142" s="265" t="s">
        <v>548</v>
      </c>
      <c r="C142" s="257">
        <v>45107</v>
      </c>
      <c r="D142" s="258">
        <f>68326*6</f>
        <v>409956</v>
      </c>
      <c r="E142" s="259">
        <v>394528</v>
      </c>
      <c r="G142" s="254"/>
      <c r="H142" s="254"/>
      <c r="I142" s="254"/>
      <c r="J142" s="254"/>
      <c r="K142" s="254"/>
      <c r="L142" s="254"/>
      <c r="M142" s="254"/>
      <c r="N142" s="254"/>
      <c r="O142" s="254"/>
    </row>
    <row r="143" spans="1:15" s="253" customFormat="1" x14ac:dyDescent="0.2">
      <c r="A143" s="255" t="s">
        <v>549</v>
      </c>
      <c r="B143" s="265" t="s">
        <v>550</v>
      </c>
      <c r="C143" s="257" t="s">
        <v>311</v>
      </c>
      <c r="D143" s="258">
        <f>E143*2</f>
        <v>994868</v>
      </c>
      <c r="E143" s="259">
        <v>497434</v>
      </c>
      <c r="G143" s="254"/>
      <c r="H143" s="254"/>
      <c r="I143" s="254"/>
      <c r="J143" s="254"/>
      <c r="K143" s="254"/>
      <c r="L143" s="254"/>
      <c r="M143" s="254"/>
      <c r="N143" s="254"/>
      <c r="O143" s="254"/>
    </row>
    <row r="144" spans="1:15" s="253" customFormat="1" x14ac:dyDescent="0.2">
      <c r="A144" s="260" t="s">
        <v>551</v>
      </c>
      <c r="B144" s="261" t="s">
        <v>552</v>
      </c>
      <c r="C144" s="313" t="s">
        <v>311</v>
      </c>
      <c r="D144" s="263">
        <f>12*16789</f>
        <v>201468</v>
      </c>
      <c r="E144" s="264">
        <v>209890</v>
      </c>
      <c r="G144" s="254"/>
      <c r="H144" s="254"/>
      <c r="I144" s="254"/>
      <c r="J144" s="254"/>
      <c r="K144" s="254"/>
      <c r="L144" s="254"/>
      <c r="M144" s="254"/>
      <c r="N144" s="254"/>
      <c r="O144" s="254"/>
    </row>
    <row r="145" spans="1:15" s="253" customFormat="1" x14ac:dyDescent="0.2">
      <c r="A145" s="255" t="s">
        <v>551</v>
      </c>
      <c r="B145" s="256" t="s">
        <v>553</v>
      </c>
      <c r="C145" s="267" t="s">
        <v>311</v>
      </c>
      <c r="D145" s="258">
        <f>E145</f>
        <v>60808</v>
      </c>
      <c r="E145" s="259">
        <v>60808</v>
      </c>
      <c r="G145" s="254"/>
      <c r="H145" s="254"/>
      <c r="I145" s="254"/>
      <c r="J145" s="254"/>
      <c r="K145" s="254"/>
      <c r="L145" s="254"/>
      <c r="M145" s="254"/>
      <c r="N145" s="254"/>
      <c r="O145" s="254"/>
    </row>
    <row r="146" spans="1:15" s="317" customFormat="1" ht="13.5" thickBot="1" x14ac:dyDescent="0.25">
      <c r="A146" s="650" t="s">
        <v>22</v>
      </c>
      <c r="B146" s="651"/>
      <c r="C146" s="651"/>
      <c r="D146" s="315">
        <f>SUM(D9:D145)</f>
        <v>1659622547.9742858</v>
      </c>
      <c r="E146" s="316">
        <f>SUM(E9:E145)</f>
        <v>1357894978</v>
      </c>
      <c r="G146" s="318"/>
      <c r="H146" s="318"/>
      <c r="I146" s="318"/>
      <c r="J146" s="318"/>
      <c r="K146" s="318"/>
      <c r="L146" s="318"/>
      <c r="M146" s="318"/>
      <c r="N146" s="318"/>
      <c r="O146" s="318"/>
    </row>
    <row r="147" spans="1:15" x14ac:dyDescent="0.2">
      <c r="F147" s="237"/>
      <c r="G147" s="319"/>
      <c r="H147" s="319"/>
      <c r="I147" s="319"/>
      <c r="J147" s="319"/>
      <c r="K147" s="319"/>
      <c r="L147" s="319"/>
      <c r="M147" s="319"/>
      <c r="N147" s="319"/>
      <c r="O147" s="319"/>
    </row>
    <row r="148" spans="1:15" x14ac:dyDescent="0.2">
      <c r="G148" s="319"/>
      <c r="H148" s="319"/>
      <c r="I148" s="319"/>
      <c r="J148" s="319"/>
      <c r="K148" s="319"/>
      <c r="L148" s="319"/>
      <c r="M148" s="319"/>
      <c r="N148" s="319"/>
      <c r="O148" s="319"/>
    </row>
    <row r="149" spans="1:15" x14ac:dyDescent="0.2">
      <c r="G149" s="319"/>
      <c r="H149" s="319"/>
      <c r="I149" s="319"/>
      <c r="J149" s="319"/>
      <c r="K149" s="319"/>
      <c r="L149" s="319"/>
      <c r="M149" s="319"/>
      <c r="N149" s="319"/>
      <c r="O149" s="319"/>
    </row>
    <row r="152" spans="1:15" x14ac:dyDescent="0.2">
      <c r="F152" s="319"/>
      <c r="G152" s="319"/>
    </row>
    <row r="153" spans="1:15" x14ac:dyDescent="0.2">
      <c r="F153" s="319"/>
      <c r="G153" s="319"/>
    </row>
    <row r="154" spans="1:15" x14ac:dyDescent="0.2">
      <c r="F154" s="319"/>
      <c r="G154" s="319"/>
    </row>
    <row r="155" spans="1:15" x14ac:dyDescent="0.2">
      <c r="F155" s="319"/>
      <c r="G155" s="319"/>
    </row>
    <row r="156" spans="1:15" x14ac:dyDescent="0.2">
      <c r="F156" s="319"/>
      <c r="G156" s="319"/>
    </row>
    <row r="157" spans="1:15" x14ac:dyDescent="0.2">
      <c r="F157" s="319"/>
      <c r="G157" s="319"/>
    </row>
    <row r="158" spans="1:15" x14ac:dyDescent="0.2">
      <c r="F158" s="319"/>
      <c r="G158" s="319"/>
    </row>
    <row r="159" spans="1:15" x14ac:dyDescent="0.2">
      <c r="F159" s="319"/>
      <c r="G159" s="319"/>
    </row>
    <row r="160" spans="1:15" x14ac:dyDescent="0.2">
      <c r="F160" s="319"/>
      <c r="G160" s="319"/>
    </row>
    <row r="161" spans="4:7" x14ac:dyDescent="0.2">
      <c r="F161" s="319"/>
      <c r="G161" s="319"/>
    </row>
    <row r="162" spans="4:7" x14ac:dyDescent="0.2">
      <c r="F162" s="319"/>
      <c r="G162" s="319"/>
    </row>
    <row r="163" spans="4:7" x14ac:dyDescent="0.2">
      <c r="F163" s="319"/>
      <c r="G163" s="319"/>
    </row>
    <row r="164" spans="4:7" x14ac:dyDescent="0.2">
      <c r="F164" s="319"/>
      <c r="G164" s="319"/>
    </row>
    <row r="165" spans="4:7" x14ac:dyDescent="0.2">
      <c r="F165" s="319"/>
      <c r="G165" s="319"/>
    </row>
    <row r="166" spans="4:7" x14ac:dyDescent="0.2">
      <c r="F166" s="319"/>
      <c r="G166" s="319"/>
    </row>
    <row r="167" spans="4:7" x14ac:dyDescent="0.2">
      <c r="F167" s="319"/>
      <c r="G167" s="319"/>
    </row>
    <row r="168" spans="4:7" x14ac:dyDescent="0.2">
      <c r="D168" s="319"/>
      <c r="F168" s="319"/>
      <c r="G168" s="319"/>
    </row>
    <row r="169" spans="4:7" x14ac:dyDescent="0.2">
      <c r="F169" s="319"/>
      <c r="G169" s="319"/>
    </row>
    <row r="170" spans="4:7" x14ac:dyDescent="0.2">
      <c r="F170" s="319"/>
      <c r="G170" s="319"/>
    </row>
    <row r="171" spans="4:7" x14ac:dyDescent="0.2">
      <c r="F171" s="319"/>
      <c r="G171" s="319"/>
    </row>
    <row r="172" spans="4:7" x14ac:dyDescent="0.2">
      <c r="F172" s="319"/>
      <c r="G172" s="319"/>
    </row>
    <row r="173" spans="4:7" x14ac:dyDescent="0.2">
      <c r="F173" s="319"/>
      <c r="G173" s="319"/>
    </row>
    <row r="174" spans="4:7" x14ac:dyDescent="0.2">
      <c r="F174" s="319"/>
      <c r="G174" s="319"/>
    </row>
    <row r="175" spans="4:7" x14ac:dyDescent="0.2">
      <c r="F175" s="319"/>
      <c r="G175" s="319"/>
    </row>
    <row r="176" spans="4:7" x14ac:dyDescent="0.2">
      <c r="F176" s="319"/>
      <c r="G176" s="319"/>
    </row>
    <row r="177" spans="6:7" x14ac:dyDescent="0.2">
      <c r="F177" s="319"/>
      <c r="G177" s="319"/>
    </row>
    <row r="178" spans="6:7" x14ac:dyDescent="0.2">
      <c r="F178" s="319"/>
      <c r="G178" s="319"/>
    </row>
    <row r="179" spans="6:7" x14ac:dyDescent="0.2">
      <c r="F179" s="319"/>
      <c r="G179" s="319"/>
    </row>
    <row r="180" spans="6:7" x14ac:dyDescent="0.2">
      <c r="F180" s="319"/>
      <c r="G180" s="319"/>
    </row>
    <row r="181" spans="6:7" x14ac:dyDescent="0.2">
      <c r="F181" s="319"/>
      <c r="G181" s="319"/>
    </row>
  </sheetData>
  <mergeCells count="7">
    <mergeCell ref="A146:C146"/>
    <mergeCell ref="A3:E3"/>
    <mergeCell ref="A7:A8"/>
    <mergeCell ref="B7:B8"/>
    <mergeCell ref="C7:C8"/>
    <mergeCell ref="D7:D8"/>
    <mergeCell ref="E7:E8"/>
  </mergeCells>
  <hyperlinks>
    <hyperlink ref="A135" r:id="rId1" display="https://gazd-a-20.asp.lgov.hu/gazd-dombovar/CORE/eur/php/formfull.php?===tMuE2AvATZ9DzM0NwA581HGMFZjxwAl0QMccapyc3pzD2og9ypyOarmS2n9HJou5To1E2ogMlGT5HFsEIDn9xHOEIDV1QMcIJou5Jol9zMzLJLxqwLwOGCxMTAjLGBsA1H3r5n1===" xr:uid="{0B3327FE-764B-4A7A-BFE3-42158E7C082B}"/>
  </hyperlinks>
  <pageMargins left="0.70866141732283472" right="0.70866141732283472" top="0.74803149606299213" bottom="0.74803149606299213" header="0.31496062992125984" footer="0.31496062992125984"/>
  <pageSetup paperSize="9" scale="59" fitToHeight="0" orientation="landscape"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F873A-FA73-47C0-BAFD-770046AB41E6}">
  <sheetPr>
    <pageSetUpPr fitToPage="1"/>
  </sheetPr>
  <dimension ref="A1:O133"/>
  <sheetViews>
    <sheetView zoomScaleNormal="100" workbookViewId="0">
      <selection activeCell="A4" sqref="A4"/>
    </sheetView>
  </sheetViews>
  <sheetFormatPr defaultRowHeight="12.75" x14ac:dyDescent="0.2"/>
  <cols>
    <col min="1" max="1" width="38.85546875" style="229" customWidth="1"/>
    <col min="2" max="2" width="45.85546875" style="230" customWidth="1"/>
    <col min="3" max="3" width="13.7109375" style="231" customWidth="1"/>
    <col min="4" max="4" width="17.42578125" style="232" customWidth="1"/>
    <col min="5" max="5" width="13.85546875" style="235" customWidth="1"/>
    <col min="6" max="6" width="39.5703125" customWidth="1"/>
    <col min="7" max="7" width="24.140625" customWidth="1"/>
    <col min="8" max="8" width="21.7109375" customWidth="1"/>
    <col min="257" max="257" width="37.85546875" customWidth="1"/>
    <col min="258" max="258" width="40.7109375" customWidth="1"/>
    <col min="259" max="259" width="14.5703125" customWidth="1"/>
    <col min="260" max="260" width="18" bestFit="1" customWidth="1"/>
    <col min="261" max="261" width="14" customWidth="1"/>
    <col min="262" max="262" width="17.28515625" customWidth="1"/>
    <col min="263" max="263" width="24.140625" customWidth="1"/>
    <col min="264" max="264" width="21.7109375" customWidth="1"/>
    <col min="513" max="513" width="37.85546875" customWidth="1"/>
    <col min="514" max="514" width="40.7109375" customWidth="1"/>
    <col min="515" max="515" width="14.5703125" customWidth="1"/>
    <col min="516" max="516" width="18" bestFit="1" customWidth="1"/>
    <col min="517" max="517" width="14" customWidth="1"/>
    <col min="518" max="518" width="17.28515625" customWidth="1"/>
    <col min="519" max="519" width="24.140625" customWidth="1"/>
    <col min="520" max="520" width="21.7109375" customWidth="1"/>
    <col min="769" max="769" width="37.85546875" customWidth="1"/>
    <col min="770" max="770" width="40.7109375" customWidth="1"/>
    <col min="771" max="771" width="14.5703125" customWidth="1"/>
    <col min="772" max="772" width="18" bestFit="1" customWidth="1"/>
    <col min="773" max="773" width="14" customWidth="1"/>
    <col min="774" max="774" width="17.28515625" customWidth="1"/>
    <col min="775" max="775" width="24.140625" customWidth="1"/>
    <col min="776" max="776" width="21.7109375" customWidth="1"/>
    <col min="1025" max="1025" width="37.85546875" customWidth="1"/>
    <col min="1026" max="1026" width="40.7109375" customWidth="1"/>
    <col min="1027" max="1027" width="14.5703125" customWidth="1"/>
    <col min="1028" max="1028" width="18" bestFit="1" customWidth="1"/>
    <col min="1029" max="1029" width="14" customWidth="1"/>
    <col min="1030" max="1030" width="17.28515625" customWidth="1"/>
    <col min="1031" max="1031" width="24.140625" customWidth="1"/>
    <col min="1032" max="1032" width="21.7109375" customWidth="1"/>
    <col min="1281" max="1281" width="37.85546875" customWidth="1"/>
    <col min="1282" max="1282" width="40.7109375" customWidth="1"/>
    <col min="1283" max="1283" width="14.5703125" customWidth="1"/>
    <col min="1284" max="1284" width="18" bestFit="1" customWidth="1"/>
    <col min="1285" max="1285" width="14" customWidth="1"/>
    <col min="1286" max="1286" width="17.28515625" customWidth="1"/>
    <col min="1287" max="1287" width="24.140625" customWidth="1"/>
    <col min="1288" max="1288" width="21.7109375" customWidth="1"/>
    <col min="1537" max="1537" width="37.85546875" customWidth="1"/>
    <col min="1538" max="1538" width="40.7109375" customWidth="1"/>
    <col min="1539" max="1539" width="14.5703125" customWidth="1"/>
    <col min="1540" max="1540" width="18" bestFit="1" customWidth="1"/>
    <col min="1541" max="1541" width="14" customWidth="1"/>
    <col min="1542" max="1542" width="17.28515625" customWidth="1"/>
    <col min="1543" max="1543" width="24.140625" customWidth="1"/>
    <col min="1544" max="1544" width="21.7109375" customWidth="1"/>
    <col min="1793" max="1793" width="37.85546875" customWidth="1"/>
    <col min="1794" max="1794" width="40.7109375" customWidth="1"/>
    <col min="1795" max="1795" width="14.5703125" customWidth="1"/>
    <col min="1796" max="1796" width="18" bestFit="1" customWidth="1"/>
    <col min="1797" max="1797" width="14" customWidth="1"/>
    <col min="1798" max="1798" width="17.28515625" customWidth="1"/>
    <col min="1799" max="1799" width="24.140625" customWidth="1"/>
    <col min="1800" max="1800" width="21.7109375" customWidth="1"/>
    <col min="2049" max="2049" width="37.85546875" customWidth="1"/>
    <col min="2050" max="2050" width="40.7109375" customWidth="1"/>
    <col min="2051" max="2051" width="14.5703125" customWidth="1"/>
    <col min="2052" max="2052" width="18" bestFit="1" customWidth="1"/>
    <col min="2053" max="2053" width="14" customWidth="1"/>
    <col min="2054" max="2054" width="17.28515625" customWidth="1"/>
    <col min="2055" max="2055" width="24.140625" customWidth="1"/>
    <col min="2056" max="2056" width="21.7109375" customWidth="1"/>
    <col min="2305" max="2305" width="37.85546875" customWidth="1"/>
    <col min="2306" max="2306" width="40.7109375" customWidth="1"/>
    <col min="2307" max="2307" width="14.5703125" customWidth="1"/>
    <col min="2308" max="2308" width="18" bestFit="1" customWidth="1"/>
    <col min="2309" max="2309" width="14" customWidth="1"/>
    <col min="2310" max="2310" width="17.28515625" customWidth="1"/>
    <col min="2311" max="2311" width="24.140625" customWidth="1"/>
    <col min="2312" max="2312" width="21.7109375" customWidth="1"/>
    <col min="2561" max="2561" width="37.85546875" customWidth="1"/>
    <col min="2562" max="2562" width="40.7109375" customWidth="1"/>
    <col min="2563" max="2563" width="14.5703125" customWidth="1"/>
    <col min="2564" max="2564" width="18" bestFit="1" customWidth="1"/>
    <col min="2565" max="2565" width="14" customWidth="1"/>
    <col min="2566" max="2566" width="17.28515625" customWidth="1"/>
    <col min="2567" max="2567" width="24.140625" customWidth="1"/>
    <col min="2568" max="2568" width="21.7109375" customWidth="1"/>
    <col min="2817" max="2817" width="37.85546875" customWidth="1"/>
    <col min="2818" max="2818" width="40.7109375" customWidth="1"/>
    <col min="2819" max="2819" width="14.5703125" customWidth="1"/>
    <col min="2820" max="2820" width="18" bestFit="1" customWidth="1"/>
    <col min="2821" max="2821" width="14" customWidth="1"/>
    <col min="2822" max="2822" width="17.28515625" customWidth="1"/>
    <col min="2823" max="2823" width="24.140625" customWidth="1"/>
    <col min="2824" max="2824" width="21.7109375" customWidth="1"/>
    <col min="3073" max="3073" width="37.85546875" customWidth="1"/>
    <col min="3074" max="3074" width="40.7109375" customWidth="1"/>
    <col min="3075" max="3075" width="14.5703125" customWidth="1"/>
    <col min="3076" max="3076" width="18" bestFit="1" customWidth="1"/>
    <col min="3077" max="3077" width="14" customWidth="1"/>
    <col min="3078" max="3078" width="17.28515625" customWidth="1"/>
    <col min="3079" max="3079" width="24.140625" customWidth="1"/>
    <col min="3080" max="3080" width="21.7109375" customWidth="1"/>
    <col min="3329" max="3329" width="37.85546875" customWidth="1"/>
    <col min="3330" max="3330" width="40.7109375" customWidth="1"/>
    <col min="3331" max="3331" width="14.5703125" customWidth="1"/>
    <col min="3332" max="3332" width="18" bestFit="1" customWidth="1"/>
    <col min="3333" max="3333" width="14" customWidth="1"/>
    <col min="3334" max="3334" width="17.28515625" customWidth="1"/>
    <col min="3335" max="3335" width="24.140625" customWidth="1"/>
    <col min="3336" max="3336" width="21.7109375" customWidth="1"/>
    <col min="3585" max="3585" width="37.85546875" customWidth="1"/>
    <col min="3586" max="3586" width="40.7109375" customWidth="1"/>
    <col min="3587" max="3587" width="14.5703125" customWidth="1"/>
    <col min="3588" max="3588" width="18" bestFit="1" customWidth="1"/>
    <col min="3589" max="3589" width="14" customWidth="1"/>
    <col min="3590" max="3590" width="17.28515625" customWidth="1"/>
    <col min="3591" max="3591" width="24.140625" customWidth="1"/>
    <col min="3592" max="3592" width="21.7109375" customWidth="1"/>
    <col min="3841" max="3841" width="37.85546875" customWidth="1"/>
    <col min="3842" max="3842" width="40.7109375" customWidth="1"/>
    <col min="3843" max="3843" width="14.5703125" customWidth="1"/>
    <col min="3844" max="3844" width="18" bestFit="1" customWidth="1"/>
    <col min="3845" max="3845" width="14" customWidth="1"/>
    <col min="3846" max="3846" width="17.28515625" customWidth="1"/>
    <col min="3847" max="3847" width="24.140625" customWidth="1"/>
    <col min="3848" max="3848" width="21.7109375" customWidth="1"/>
    <col min="4097" max="4097" width="37.85546875" customWidth="1"/>
    <col min="4098" max="4098" width="40.7109375" customWidth="1"/>
    <col min="4099" max="4099" width="14.5703125" customWidth="1"/>
    <col min="4100" max="4100" width="18" bestFit="1" customWidth="1"/>
    <col min="4101" max="4101" width="14" customWidth="1"/>
    <col min="4102" max="4102" width="17.28515625" customWidth="1"/>
    <col min="4103" max="4103" width="24.140625" customWidth="1"/>
    <col min="4104" max="4104" width="21.7109375" customWidth="1"/>
    <col min="4353" max="4353" width="37.85546875" customWidth="1"/>
    <col min="4354" max="4354" width="40.7109375" customWidth="1"/>
    <col min="4355" max="4355" width="14.5703125" customWidth="1"/>
    <col min="4356" max="4356" width="18" bestFit="1" customWidth="1"/>
    <col min="4357" max="4357" width="14" customWidth="1"/>
    <col min="4358" max="4358" width="17.28515625" customWidth="1"/>
    <col min="4359" max="4359" width="24.140625" customWidth="1"/>
    <col min="4360" max="4360" width="21.7109375" customWidth="1"/>
    <col min="4609" max="4609" width="37.85546875" customWidth="1"/>
    <col min="4610" max="4610" width="40.7109375" customWidth="1"/>
    <col min="4611" max="4611" width="14.5703125" customWidth="1"/>
    <col min="4612" max="4612" width="18" bestFit="1" customWidth="1"/>
    <col min="4613" max="4613" width="14" customWidth="1"/>
    <col min="4614" max="4614" width="17.28515625" customWidth="1"/>
    <col min="4615" max="4615" width="24.140625" customWidth="1"/>
    <col min="4616" max="4616" width="21.7109375" customWidth="1"/>
    <col min="4865" max="4865" width="37.85546875" customWidth="1"/>
    <col min="4866" max="4866" width="40.7109375" customWidth="1"/>
    <col min="4867" max="4867" width="14.5703125" customWidth="1"/>
    <col min="4868" max="4868" width="18" bestFit="1" customWidth="1"/>
    <col min="4869" max="4869" width="14" customWidth="1"/>
    <col min="4870" max="4870" width="17.28515625" customWidth="1"/>
    <col min="4871" max="4871" width="24.140625" customWidth="1"/>
    <col min="4872" max="4872" width="21.7109375" customWidth="1"/>
    <col min="5121" max="5121" width="37.85546875" customWidth="1"/>
    <col min="5122" max="5122" width="40.7109375" customWidth="1"/>
    <col min="5123" max="5123" width="14.5703125" customWidth="1"/>
    <col min="5124" max="5124" width="18" bestFit="1" customWidth="1"/>
    <col min="5125" max="5125" width="14" customWidth="1"/>
    <col min="5126" max="5126" width="17.28515625" customWidth="1"/>
    <col min="5127" max="5127" width="24.140625" customWidth="1"/>
    <col min="5128" max="5128" width="21.7109375" customWidth="1"/>
    <col min="5377" max="5377" width="37.85546875" customWidth="1"/>
    <col min="5378" max="5378" width="40.7109375" customWidth="1"/>
    <col min="5379" max="5379" width="14.5703125" customWidth="1"/>
    <col min="5380" max="5380" width="18" bestFit="1" customWidth="1"/>
    <col min="5381" max="5381" width="14" customWidth="1"/>
    <col min="5382" max="5382" width="17.28515625" customWidth="1"/>
    <col min="5383" max="5383" width="24.140625" customWidth="1"/>
    <col min="5384" max="5384" width="21.7109375" customWidth="1"/>
    <col min="5633" max="5633" width="37.85546875" customWidth="1"/>
    <col min="5634" max="5634" width="40.7109375" customWidth="1"/>
    <col min="5635" max="5635" width="14.5703125" customWidth="1"/>
    <col min="5636" max="5636" width="18" bestFit="1" customWidth="1"/>
    <col min="5637" max="5637" width="14" customWidth="1"/>
    <col min="5638" max="5638" width="17.28515625" customWidth="1"/>
    <col min="5639" max="5639" width="24.140625" customWidth="1"/>
    <col min="5640" max="5640" width="21.7109375" customWidth="1"/>
    <col min="5889" max="5889" width="37.85546875" customWidth="1"/>
    <col min="5890" max="5890" width="40.7109375" customWidth="1"/>
    <col min="5891" max="5891" width="14.5703125" customWidth="1"/>
    <col min="5892" max="5892" width="18" bestFit="1" customWidth="1"/>
    <col min="5893" max="5893" width="14" customWidth="1"/>
    <col min="5894" max="5894" width="17.28515625" customWidth="1"/>
    <col min="5895" max="5895" width="24.140625" customWidth="1"/>
    <col min="5896" max="5896" width="21.7109375" customWidth="1"/>
    <col min="6145" max="6145" width="37.85546875" customWidth="1"/>
    <col min="6146" max="6146" width="40.7109375" customWidth="1"/>
    <col min="6147" max="6147" width="14.5703125" customWidth="1"/>
    <col min="6148" max="6148" width="18" bestFit="1" customWidth="1"/>
    <col min="6149" max="6149" width="14" customWidth="1"/>
    <col min="6150" max="6150" width="17.28515625" customWidth="1"/>
    <col min="6151" max="6151" width="24.140625" customWidth="1"/>
    <col min="6152" max="6152" width="21.7109375" customWidth="1"/>
    <col min="6401" max="6401" width="37.85546875" customWidth="1"/>
    <col min="6402" max="6402" width="40.7109375" customWidth="1"/>
    <col min="6403" max="6403" width="14.5703125" customWidth="1"/>
    <col min="6404" max="6404" width="18" bestFit="1" customWidth="1"/>
    <col min="6405" max="6405" width="14" customWidth="1"/>
    <col min="6406" max="6406" width="17.28515625" customWidth="1"/>
    <col min="6407" max="6407" width="24.140625" customWidth="1"/>
    <col min="6408" max="6408" width="21.7109375" customWidth="1"/>
    <col min="6657" max="6657" width="37.85546875" customWidth="1"/>
    <col min="6658" max="6658" width="40.7109375" customWidth="1"/>
    <col min="6659" max="6659" width="14.5703125" customWidth="1"/>
    <col min="6660" max="6660" width="18" bestFit="1" customWidth="1"/>
    <col min="6661" max="6661" width="14" customWidth="1"/>
    <col min="6662" max="6662" width="17.28515625" customWidth="1"/>
    <col min="6663" max="6663" width="24.140625" customWidth="1"/>
    <col min="6664" max="6664" width="21.7109375" customWidth="1"/>
    <col min="6913" max="6913" width="37.85546875" customWidth="1"/>
    <col min="6914" max="6914" width="40.7109375" customWidth="1"/>
    <col min="6915" max="6915" width="14.5703125" customWidth="1"/>
    <col min="6916" max="6916" width="18" bestFit="1" customWidth="1"/>
    <col min="6917" max="6917" width="14" customWidth="1"/>
    <col min="6918" max="6918" width="17.28515625" customWidth="1"/>
    <col min="6919" max="6919" width="24.140625" customWidth="1"/>
    <col min="6920" max="6920" width="21.7109375" customWidth="1"/>
    <col min="7169" max="7169" width="37.85546875" customWidth="1"/>
    <col min="7170" max="7170" width="40.7109375" customWidth="1"/>
    <col min="7171" max="7171" width="14.5703125" customWidth="1"/>
    <col min="7172" max="7172" width="18" bestFit="1" customWidth="1"/>
    <col min="7173" max="7173" width="14" customWidth="1"/>
    <col min="7174" max="7174" width="17.28515625" customWidth="1"/>
    <col min="7175" max="7175" width="24.140625" customWidth="1"/>
    <col min="7176" max="7176" width="21.7109375" customWidth="1"/>
    <col min="7425" max="7425" width="37.85546875" customWidth="1"/>
    <col min="7426" max="7426" width="40.7109375" customWidth="1"/>
    <col min="7427" max="7427" width="14.5703125" customWidth="1"/>
    <col min="7428" max="7428" width="18" bestFit="1" customWidth="1"/>
    <col min="7429" max="7429" width="14" customWidth="1"/>
    <col min="7430" max="7430" width="17.28515625" customWidth="1"/>
    <col min="7431" max="7431" width="24.140625" customWidth="1"/>
    <col min="7432" max="7432" width="21.7109375" customWidth="1"/>
    <col min="7681" max="7681" width="37.85546875" customWidth="1"/>
    <col min="7682" max="7682" width="40.7109375" customWidth="1"/>
    <col min="7683" max="7683" width="14.5703125" customWidth="1"/>
    <col min="7684" max="7684" width="18" bestFit="1" customWidth="1"/>
    <col min="7685" max="7685" width="14" customWidth="1"/>
    <col min="7686" max="7686" width="17.28515625" customWidth="1"/>
    <col min="7687" max="7687" width="24.140625" customWidth="1"/>
    <col min="7688" max="7688" width="21.7109375" customWidth="1"/>
    <col min="7937" max="7937" width="37.85546875" customWidth="1"/>
    <col min="7938" max="7938" width="40.7109375" customWidth="1"/>
    <col min="7939" max="7939" width="14.5703125" customWidth="1"/>
    <col min="7940" max="7940" width="18" bestFit="1" customWidth="1"/>
    <col min="7941" max="7941" width="14" customWidth="1"/>
    <col min="7942" max="7942" width="17.28515625" customWidth="1"/>
    <col min="7943" max="7943" width="24.140625" customWidth="1"/>
    <col min="7944" max="7944" width="21.7109375" customWidth="1"/>
    <col min="8193" max="8193" width="37.85546875" customWidth="1"/>
    <col min="8194" max="8194" width="40.7109375" customWidth="1"/>
    <col min="8195" max="8195" width="14.5703125" customWidth="1"/>
    <col min="8196" max="8196" width="18" bestFit="1" customWidth="1"/>
    <col min="8197" max="8197" width="14" customWidth="1"/>
    <col min="8198" max="8198" width="17.28515625" customWidth="1"/>
    <col min="8199" max="8199" width="24.140625" customWidth="1"/>
    <col min="8200" max="8200" width="21.7109375" customWidth="1"/>
    <col min="8449" max="8449" width="37.85546875" customWidth="1"/>
    <col min="8450" max="8450" width="40.7109375" customWidth="1"/>
    <col min="8451" max="8451" width="14.5703125" customWidth="1"/>
    <col min="8452" max="8452" width="18" bestFit="1" customWidth="1"/>
    <col min="8453" max="8453" width="14" customWidth="1"/>
    <col min="8454" max="8454" width="17.28515625" customWidth="1"/>
    <col min="8455" max="8455" width="24.140625" customWidth="1"/>
    <col min="8456" max="8456" width="21.7109375" customWidth="1"/>
    <col min="8705" max="8705" width="37.85546875" customWidth="1"/>
    <col min="8706" max="8706" width="40.7109375" customWidth="1"/>
    <col min="8707" max="8707" width="14.5703125" customWidth="1"/>
    <col min="8708" max="8708" width="18" bestFit="1" customWidth="1"/>
    <col min="8709" max="8709" width="14" customWidth="1"/>
    <col min="8710" max="8710" width="17.28515625" customWidth="1"/>
    <col min="8711" max="8711" width="24.140625" customWidth="1"/>
    <col min="8712" max="8712" width="21.7109375" customWidth="1"/>
    <col min="8961" max="8961" width="37.85546875" customWidth="1"/>
    <col min="8962" max="8962" width="40.7109375" customWidth="1"/>
    <col min="8963" max="8963" width="14.5703125" customWidth="1"/>
    <col min="8964" max="8964" width="18" bestFit="1" customWidth="1"/>
    <col min="8965" max="8965" width="14" customWidth="1"/>
    <col min="8966" max="8966" width="17.28515625" customWidth="1"/>
    <col min="8967" max="8967" width="24.140625" customWidth="1"/>
    <col min="8968" max="8968" width="21.7109375" customWidth="1"/>
    <col min="9217" max="9217" width="37.85546875" customWidth="1"/>
    <col min="9218" max="9218" width="40.7109375" customWidth="1"/>
    <col min="9219" max="9219" width="14.5703125" customWidth="1"/>
    <col min="9220" max="9220" width="18" bestFit="1" customWidth="1"/>
    <col min="9221" max="9221" width="14" customWidth="1"/>
    <col min="9222" max="9222" width="17.28515625" customWidth="1"/>
    <col min="9223" max="9223" width="24.140625" customWidth="1"/>
    <col min="9224" max="9224" width="21.7109375" customWidth="1"/>
    <col min="9473" max="9473" width="37.85546875" customWidth="1"/>
    <col min="9474" max="9474" width="40.7109375" customWidth="1"/>
    <col min="9475" max="9475" width="14.5703125" customWidth="1"/>
    <col min="9476" max="9476" width="18" bestFit="1" customWidth="1"/>
    <col min="9477" max="9477" width="14" customWidth="1"/>
    <col min="9478" max="9478" width="17.28515625" customWidth="1"/>
    <col min="9479" max="9479" width="24.140625" customWidth="1"/>
    <col min="9480" max="9480" width="21.7109375" customWidth="1"/>
    <col min="9729" max="9729" width="37.85546875" customWidth="1"/>
    <col min="9730" max="9730" width="40.7109375" customWidth="1"/>
    <col min="9731" max="9731" width="14.5703125" customWidth="1"/>
    <col min="9732" max="9732" width="18" bestFit="1" customWidth="1"/>
    <col min="9733" max="9733" width="14" customWidth="1"/>
    <col min="9734" max="9734" width="17.28515625" customWidth="1"/>
    <col min="9735" max="9735" width="24.140625" customWidth="1"/>
    <col min="9736" max="9736" width="21.7109375" customWidth="1"/>
    <col min="9985" max="9985" width="37.85546875" customWidth="1"/>
    <col min="9986" max="9986" width="40.7109375" customWidth="1"/>
    <col min="9987" max="9987" width="14.5703125" customWidth="1"/>
    <col min="9988" max="9988" width="18" bestFit="1" customWidth="1"/>
    <col min="9989" max="9989" width="14" customWidth="1"/>
    <col min="9990" max="9990" width="17.28515625" customWidth="1"/>
    <col min="9991" max="9991" width="24.140625" customWidth="1"/>
    <col min="9992" max="9992" width="21.7109375" customWidth="1"/>
    <col min="10241" max="10241" width="37.85546875" customWidth="1"/>
    <col min="10242" max="10242" width="40.7109375" customWidth="1"/>
    <col min="10243" max="10243" width="14.5703125" customWidth="1"/>
    <col min="10244" max="10244" width="18" bestFit="1" customWidth="1"/>
    <col min="10245" max="10245" width="14" customWidth="1"/>
    <col min="10246" max="10246" width="17.28515625" customWidth="1"/>
    <col min="10247" max="10247" width="24.140625" customWidth="1"/>
    <col min="10248" max="10248" width="21.7109375" customWidth="1"/>
    <col min="10497" max="10497" width="37.85546875" customWidth="1"/>
    <col min="10498" max="10498" width="40.7109375" customWidth="1"/>
    <col min="10499" max="10499" width="14.5703125" customWidth="1"/>
    <col min="10500" max="10500" width="18" bestFit="1" customWidth="1"/>
    <col min="10501" max="10501" width="14" customWidth="1"/>
    <col min="10502" max="10502" width="17.28515625" customWidth="1"/>
    <col min="10503" max="10503" width="24.140625" customWidth="1"/>
    <col min="10504" max="10504" width="21.7109375" customWidth="1"/>
    <col min="10753" max="10753" width="37.85546875" customWidth="1"/>
    <col min="10754" max="10754" width="40.7109375" customWidth="1"/>
    <col min="10755" max="10755" width="14.5703125" customWidth="1"/>
    <col min="10756" max="10756" width="18" bestFit="1" customWidth="1"/>
    <col min="10757" max="10757" width="14" customWidth="1"/>
    <col min="10758" max="10758" width="17.28515625" customWidth="1"/>
    <col min="10759" max="10759" width="24.140625" customWidth="1"/>
    <col min="10760" max="10760" width="21.7109375" customWidth="1"/>
    <col min="11009" max="11009" width="37.85546875" customWidth="1"/>
    <col min="11010" max="11010" width="40.7109375" customWidth="1"/>
    <col min="11011" max="11011" width="14.5703125" customWidth="1"/>
    <col min="11012" max="11012" width="18" bestFit="1" customWidth="1"/>
    <col min="11013" max="11013" width="14" customWidth="1"/>
    <col min="11014" max="11014" width="17.28515625" customWidth="1"/>
    <col min="11015" max="11015" width="24.140625" customWidth="1"/>
    <col min="11016" max="11016" width="21.7109375" customWidth="1"/>
    <col min="11265" max="11265" width="37.85546875" customWidth="1"/>
    <col min="11266" max="11266" width="40.7109375" customWidth="1"/>
    <col min="11267" max="11267" width="14.5703125" customWidth="1"/>
    <col min="11268" max="11268" width="18" bestFit="1" customWidth="1"/>
    <col min="11269" max="11269" width="14" customWidth="1"/>
    <col min="11270" max="11270" width="17.28515625" customWidth="1"/>
    <col min="11271" max="11271" width="24.140625" customWidth="1"/>
    <col min="11272" max="11272" width="21.7109375" customWidth="1"/>
    <col min="11521" max="11521" width="37.85546875" customWidth="1"/>
    <col min="11522" max="11522" width="40.7109375" customWidth="1"/>
    <col min="11523" max="11523" width="14.5703125" customWidth="1"/>
    <col min="11524" max="11524" width="18" bestFit="1" customWidth="1"/>
    <col min="11525" max="11525" width="14" customWidth="1"/>
    <col min="11526" max="11526" width="17.28515625" customWidth="1"/>
    <col min="11527" max="11527" width="24.140625" customWidth="1"/>
    <col min="11528" max="11528" width="21.7109375" customWidth="1"/>
    <col min="11777" max="11777" width="37.85546875" customWidth="1"/>
    <col min="11778" max="11778" width="40.7109375" customWidth="1"/>
    <col min="11779" max="11779" width="14.5703125" customWidth="1"/>
    <col min="11780" max="11780" width="18" bestFit="1" customWidth="1"/>
    <col min="11781" max="11781" width="14" customWidth="1"/>
    <col min="11782" max="11782" width="17.28515625" customWidth="1"/>
    <col min="11783" max="11783" width="24.140625" customWidth="1"/>
    <col min="11784" max="11784" width="21.7109375" customWidth="1"/>
    <col min="12033" max="12033" width="37.85546875" customWidth="1"/>
    <col min="12034" max="12034" width="40.7109375" customWidth="1"/>
    <col min="12035" max="12035" width="14.5703125" customWidth="1"/>
    <col min="12036" max="12036" width="18" bestFit="1" customWidth="1"/>
    <col min="12037" max="12037" width="14" customWidth="1"/>
    <col min="12038" max="12038" width="17.28515625" customWidth="1"/>
    <col min="12039" max="12039" width="24.140625" customWidth="1"/>
    <col min="12040" max="12040" width="21.7109375" customWidth="1"/>
    <col min="12289" max="12289" width="37.85546875" customWidth="1"/>
    <col min="12290" max="12290" width="40.7109375" customWidth="1"/>
    <col min="12291" max="12291" width="14.5703125" customWidth="1"/>
    <col min="12292" max="12292" width="18" bestFit="1" customWidth="1"/>
    <col min="12293" max="12293" width="14" customWidth="1"/>
    <col min="12294" max="12294" width="17.28515625" customWidth="1"/>
    <col min="12295" max="12295" width="24.140625" customWidth="1"/>
    <col min="12296" max="12296" width="21.7109375" customWidth="1"/>
    <col min="12545" max="12545" width="37.85546875" customWidth="1"/>
    <col min="12546" max="12546" width="40.7109375" customWidth="1"/>
    <col min="12547" max="12547" width="14.5703125" customWidth="1"/>
    <col min="12548" max="12548" width="18" bestFit="1" customWidth="1"/>
    <col min="12549" max="12549" width="14" customWidth="1"/>
    <col min="12550" max="12550" width="17.28515625" customWidth="1"/>
    <col min="12551" max="12551" width="24.140625" customWidth="1"/>
    <col min="12552" max="12552" width="21.7109375" customWidth="1"/>
    <col min="12801" max="12801" width="37.85546875" customWidth="1"/>
    <col min="12802" max="12802" width="40.7109375" customWidth="1"/>
    <col min="12803" max="12803" width="14.5703125" customWidth="1"/>
    <col min="12804" max="12804" width="18" bestFit="1" customWidth="1"/>
    <col min="12805" max="12805" width="14" customWidth="1"/>
    <col min="12806" max="12806" width="17.28515625" customWidth="1"/>
    <col min="12807" max="12807" width="24.140625" customWidth="1"/>
    <col min="12808" max="12808" width="21.7109375" customWidth="1"/>
    <col min="13057" max="13057" width="37.85546875" customWidth="1"/>
    <col min="13058" max="13058" width="40.7109375" customWidth="1"/>
    <col min="13059" max="13059" width="14.5703125" customWidth="1"/>
    <col min="13060" max="13060" width="18" bestFit="1" customWidth="1"/>
    <col min="13061" max="13061" width="14" customWidth="1"/>
    <col min="13062" max="13062" width="17.28515625" customWidth="1"/>
    <col min="13063" max="13063" width="24.140625" customWidth="1"/>
    <col min="13064" max="13064" width="21.7109375" customWidth="1"/>
    <col min="13313" max="13313" width="37.85546875" customWidth="1"/>
    <col min="13314" max="13314" width="40.7109375" customWidth="1"/>
    <col min="13315" max="13315" width="14.5703125" customWidth="1"/>
    <col min="13316" max="13316" width="18" bestFit="1" customWidth="1"/>
    <col min="13317" max="13317" width="14" customWidth="1"/>
    <col min="13318" max="13318" width="17.28515625" customWidth="1"/>
    <col min="13319" max="13319" width="24.140625" customWidth="1"/>
    <col min="13320" max="13320" width="21.7109375" customWidth="1"/>
    <col min="13569" max="13569" width="37.85546875" customWidth="1"/>
    <col min="13570" max="13570" width="40.7109375" customWidth="1"/>
    <col min="13571" max="13571" width="14.5703125" customWidth="1"/>
    <col min="13572" max="13572" width="18" bestFit="1" customWidth="1"/>
    <col min="13573" max="13573" width="14" customWidth="1"/>
    <col min="13574" max="13574" width="17.28515625" customWidth="1"/>
    <col min="13575" max="13575" width="24.140625" customWidth="1"/>
    <col min="13576" max="13576" width="21.7109375" customWidth="1"/>
    <col min="13825" max="13825" width="37.85546875" customWidth="1"/>
    <col min="13826" max="13826" width="40.7109375" customWidth="1"/>
    <col min="13827" max="13827" width="14.5703125" customWidth="1"/>
    <col min="13828" max="13828" width="18" bestFit="1" customWidth="1"/>
    <col min="13829" max="13829" width="14" customWidth="1"/>
    <col min="13830" max="13830" width="17.28515625" customWidth="1"/>
    <col min="13831" max="13831" width="24.140625" customWidth="1"/>
    <col min="13832" max="13832" width="21.7109375" customWidth="1"/>
    <col min="14081" max="14081" width="37.85546875" customWidth="1"/>
    <col min="14082" max="14082" width="40.7109375" customWidth="1"/>
    <col min="14083" max="14083" width="14.5703125" customWidth="1"/>
    <col min="14084" max="14084" width="18" bestFit="1" customWidth="1"/>
    <col min="14085" max="14085" width="14" customWidth="1"/>
    <col min="14086" max="14086" width="17.28515625" customWidth="1"/>
    <col min="14087" max="14087" width="24.140625" customWidth="1"/>
    <col min="14088" max="14088" width="21.7109375" customWidth="1"/>
    <col min="14337" max="14337" width="37.85546875" customWidth="1"/>
    <col min="14338" max="14338" width="40.7109375" customWidth="1"/>
    <col min="14339" max="14339" width="14.5703125" customWidth="1"/>
    <col min="14340" max="14340" width="18" bestFit="1" customWidth="1"/>
    <col min="14341" max="14341" width="14" customWidth="1"/>
    <col min="14342" max="14342" width="17.28515625" customWidth="1"/>
    <col min="14343" max="14343" width="24.140625" customWidth="1"/>
    <col min="14344" max="14344" width="21.7109375" customWidth="1"/>
    <col min="14593" max="14593" width="37.85546875" customWidth="1"/>
    <col min="14594" max="14594" width="40.7109375" customWidth="1"/>
    <col min="14595" max="14595" width="14.5703125" customWidth="1"/>
    <col min="14596" max="14596" width="18" bestFit="1" customWidth="1"/>
    <col min="14597" max="14597" width="14" customWidth="1"/>
    <col min="14598" max="14598" width="17.28515625" customWidth="1"/>
    <col min="14599" max="14599" width="24.140625" customWidth="1"/>
    <col min="14600" max="14600" width="21.7109375" customWidth="1"/>
    <col min="14849" max="14849" width="37.85546875" customWidth="1"/>
    <col min="14850" max="14850" width="40.7109375" customWidth="1"/>
    <col min="14851" max="14851" width="14.5703125" customWidth="1"/>
    <col min="14852" max="14852" width="18" bestFit="1" customWidth="1"/>
    <col min="14853" max="14853" width="14" customWidth="1"/>
    <col min="14854" max="14854" width="17.28515625" customWidth="1"/>
    <col min="14855" max="14855" width="24.140625" customWidth="1"/>
    <col min="14856" max="14856" width="21.7109375" customWidth="1"/>
    <col min="15105" max="15105" width="37.85546875" customWidth="1"/>
    <col min="15106" max="15106" width="40.7109375" customWidth="1"/>
    <col min="15107" max="15107" width="14.5703125" customWidth="1"/>
    <col min="15108" max="15108" width="18" bestFit="1" customWidth="1"/>
    <col min="15109" max="15109" width="14" customWidth="1"/>
    <col min="15110" max="15110" width="17.28515625" customWidth="1"/>
    <col min="15111" max="15111" width="24.140625" customWidth="1"/>
    <col min="15112" max="15112" width="21.7109375" customWidth="1"/>
    <col min="15361" max="15361" width="37.85546875" customWidth="1"/>
    <col min="15362" max="15362" width="40.7109375" customWidth="1"/>
    <col min="15363" max="15363" width="14.5703125" customWidth="1"/>
    <col min="15364" max="15364" width="18" bestFit="1" customWidth="1"/>
    <col min="15365" max="15365" width="14" customWidth="1"/>
    <col min="15366" max="15366" width="17.28515625" customWidth="1"/>
    <col min="15367" max="15367" width="24.140625" customWidth="1"/>
    <col min="15368" max="15368" width="21.7109375" customWidth="1"/>
    <col min="15617" max="15617" width="37.85546875" customWidth="1"/>
    <col min="15618" max="15618" width="40.7109375" customWidth="1"/>
    <col min="15619" max="15619" width="14.5703125" customWidth="1"/>
    <col min="15620" max="15620" width="18" bestFit="1" customWidth="1"/>
    <col min="15621" max="15621" width="14" customWidth="1"/>
    <col min="15622" max="15622" width="17.28515625" customWidth="1"/>
    <col min="15623" max="15623" width="24.140625" customWidth="1"/>
    <col min="15624" max="15624" width="21.7109375" customWidth="1"/>
    <col min="15873" max="15873" width="37.85546875" customWidth="1"/>
    <col min="15874" max="15874" width="40.7109375" customWidth="1"/>
    <col min="15875" max="15875" width="14.5703125" customWidth="1"/>
    <col min="15876" max="15876" width="18" bestFit="1" customWidth="1"/>
    <col min="15877" max="15877" width="14" customWidth="1"/>
    <col min="15878" max="15878" width="17.28515625" customWidth="1"/>
    <col min="15879" max="15879" width="24.140625" customWidth="1"/>
    <col min="15880" max="15880" width="21.7109375" customWidth="1"/>
    <col min="16129" max="16129" width="37.85546875" customWidth="1"/>
    <col min="16130" max="16130" width="40.7109375" customWidth="1"/>
    <col min="16131" max="16131" width="14.5703125" customWidth="1"/>
    <col min="16132" max="16132" width="18" bestFit="1" customWidth="1"/>
    <col min="16133" max="16133" width="14" customWidth="1"/>
    <col min="16134" max="16134" width="17.28515625" customWidth="1"/>
    <col min="16135" max="16135" width="24.140625" customWidth="1"/>
    <col min="16136" max="16136" width="21.7109375" customWidth="1"/>
  </cols>
  <sheetData>
    <row r="1" spans="1:15" ht="15" x14ac:dyDescent="0.25">
      <c r="A1" s="320"/>
      <c r="B1" s="321"/>
      <c r="C1" s="322"/>
      <c r="D1" s="323"/>
      <c r="E1" s="13" t="s">
        <v>948</v>
      </c>
      <c r="F1" s="13"/>
      <c r="G1" s="13"/>
      <c r="H1" s="13"/>
      <c r="I1" s="13"/>
      <c r="J1" s="13"/>
      <c r="K1" s="13"/>
      <c r="L1" s="13"/>
      <c r="M1" s="13"/>
      <c r="N1" s="13"/>
      <c r="O1" s="13"/>
    </row>
    <row r="2" spans="1:15" x14ac:dyDescent="0.2">
      <c r="A2" s="320"/>
      <c r="B2" s="321"/>
      <c r="C2" s="322"/>
      <c r="D2" s="323"/>
      <c r="E2" s="323"/>
    </row>
    <row r="3" spans="1:15" x14ac:dyDescent="0.2">
      <c r="A3" s="664" t="s">
        <v>951</v>
      </c>
      <c r="B3" s="664"/>
      <c r="C3" s="664"/>
      <c r="D3" s="664"/>
      <c r="E3" s="664"/>
    </row>
    <row r="4" spans="1:15" x14ac:dyDescent="0.2">
      <c r="A4" s="320"/>
      <c r="B4" s="321"/>
      <c r="C4" s="322"/>
      <c r="D4" s="323"/>
      <c r="E4" s="323"/>
    </row>
    <row r="5" spans="1:15" x14ac:dyDescent="0.2">
      <c r="A5" s="320"/>
      <c r="B5" s="321"/>
      <c r="C5" s="322"/>
      <c r="D5" s="323"/>
      <c r="E5" s="323" t="s">
        <v>300</v>
      </c>
    </row>
    <row r="6" spans="1:15" ht="13.5" thickBot="1" x14ac:dyDescent="0.25">
      <c r="A6" s="230"/>
      <c r="B6" s="233"/>
      <c r="C6" s="234"/>
      <c r="D6" s="235"/>
      <c r="E6" s="236">
        <v>1</v>
      </c>
    </row>
    <row r="7" spans="1:15" ht="12.75" customHeight="1" x14ac:dyDescent="0.2">
      <c r="A7" s="659" t="s">
        <v>301</v>
      </c>
      <c r="B7" s="655" t="s">
        <v>302</v>
      </c>
      <c r="C7" s="667" t="s">
        <v>303</v>
      </c>
      <c r="D7" s="659" t="s">
        <v>304</v>
      </c>
      <c r="E7" s="659" t="s">
        <v>554</v>
      </c>
      <c r="G7" s="663"/>
    </row>
    <row r="8" spans="1:15" x14ac:dyDescent="0.2">
      <c r="A8" s="665"/>
      <c r="B8" s="666"/>
      <c r="C8" s="668"/>
      <c r="D8" s="665"/>
      <c r="E8" s="665"/>
      <c r="G8" s="663"/>
    </row>
    <row r="9" spans="1:15" s="329" customFormat="1" x14ac:dyDescent="0.2">
      <c r="A9" s="324" t="s">
        <v>555</v>
      </c>
      <c r="B9" s="325" t="s">
        <v>556</v>
      </c>
      <c r="C9" s="326" t="s">
        <v>311</v>
      </c>
      <c r="D9" s="327">
        <v>289179</v>
      </c>
      <c r="E9" s="328">
        <v>247650</v>
      </c>
    </row>
    <row r="10" spans="1:15" s="329" customFormat="1" x14ac:dyDescent="0.2">
      <c r="A10" s="324" t="s">
        <v>557</v>
      </c>
      <c r="B10" s="330" t="s">
        <v>558</v>
      </c>
      <c r="C10" s="331">
        <v>44958</v>
      </c>
      <c r="D10" s="327">
        <v>518160</v>
      </c>
      <c r="E10" s="328">
        <v>518160</v>
      </c>
    </row>
    <row r="11" spans="1:15" s="329" customFormat="1" ht="25.5" x14ac:dyDescent="0.2">
      <c r="A11" s="324" t="s">
        <v>559</v>
      </c>
      <c r="B11" s="332" t="s">
        <v>560</v>
      </c>
      <c r="C11" s="262" t="s">
        <v>311</v>
      </c>
      <c r="D11" s="327">
        <v>793592</v>
      </c>
      <c r="E11" s="328">
        <v>755802</v>
      </c>
    </row>
    <row r="12" spans="1:15" s="329" customFormat="1" ht="25.5" x14ac:dyDescent="0.2">
      <c r="A12" s="333" t="s">
        <v>561</v>
      </c>
      <c r="B12" s="334" t="s">
        <v>562</v>
      </c>
      <c r="C12" s="335" t="s">
        <v>563</v>
      </c>
      <c r="D12" s="327">
        <v>71200</v>
      </c>
      <c r="E12" s="328">
        <v>71200</v>
      </c>
    </row>
    <row r="13" spans="1:15" s="329" customFormat="1" ht="25.5" x14ac:dyDescent="0.2">
      <c r="A13" s="333" t="s">
        <v>561</v>
      </c>
      <c r="B13" s="334" t="s">
        <v>564</v>
      </c>
      <c r="C13" s="335" t="s">
        <v>563</v>
      </c>
      <c r="D13" s="327">
        <v>9600</v>
      </c>
      <c r="E13" s="328">
        <v>9600</v>
      </c>
    </row>
    <row r="14" spans="1:15" s="329" customFormat="1" x14ac:dyDescent="0.2">
      <c r="A14" s="324" t="s">
        <v>565</v>
      </c>
      <c r="B14" s="325" t="s">
        <v>566</v>
      </c>
      <c r="C14" s="326" t="s">
        <v>311</v>
      </c>
      <c r="D14" s="327">
        <v>1134364</v>
      </c>
      <c r="E14" s="328">
        <v>990600</v>
      </c>
    </row>
    <row r="15" spans="1:15" s="329" customFormat="1" x14ac:dyDescent="0.2">
      <c r="A15" s="324" t="s">
        <v>565</v>
      </c>
      <c r="B15" s="325" t="s">
        <v>567</v>
      </c>
      <c r="C15" s="331">
        <v>45107</v>
      </c>
      <c r="D15" s="327">
        <v>715823</v>
      </c>
      <c r="E15" s="328">
        <v>681736</v>
      </c>
      <c r="F15" s="336"/>
    </row>
    <row r="16" spans="1:15" s="329" customFormat="1" x14ac:dyDescent="0.2">
      <c r="A16" s="324" t="s">
        <v>568</v>
      </c>
      <c r="B16" s="325" t="s">
        <v>569</v>
      </c>
      <c r="C16" s="337" t="s">
        <v>311</v>
      </c>
      <c r="D16" s="327">
        <v>971056</v>
      </c>
      <c r="E16" s="328">
        <v>3789293</v>
      </c>
    </row>
    <row r="17" spans="1:6" s="329" customFormat="1" ht="25.5" x14ac:dyDescent="0.2">
      <c r="A17" s="324" t="s">
        <v>570</v>
      </c>
      <c r="B17" s="325" t="s">
        <v>571</v>
      </c>
      <c r="C17" s="262" t="s">
        <v>311</v>
      </c>
      <c r="D17" s="327">
        <v>63000</v>
      </c>
      <c r="E17" s="328">
        <v>56000</v>
      </c>
    </row>
    <row r="18" spans="1:6" s="329" customFormat="1" x14ac:dyDescent="0.2">
      <c r="A18" s="277" t="s">
        <v>572</v>
      </c>
      <c r="B18" s="338" t="s">
        <v>573</v>
      </c>
      <c r="C18" s="326" t="s">
        <v>311</v>
      </c>
      <c r="D18" s="339">
        <v>625573</v>
      </c>
      <c r="E18" s="328">
        <v>595784</v>
      </c>
    </row>
    <row r="19" spans="1:6" s="329" customFormat="1" x14ac:dyDescent="0.2">
      <c r="A19" s="333" t="s">
        <v>574</v>
      </c>
      <c r="B19" s="340" t="s">
        <v>575</v>
      </c>
      <c r="C19" s="341" t="s">
        <v>311</v>
      </c>
      <c r="D19" s="339">
        <v>4642537</v>
      </c>
      <c r="E19" s="328">
        <v>3868781</v>
      </c>
    </row>
    <row r="20" spans="1:6" s="329" customFormat="1" x14ac:dyDescent="0.2">
      <c r="A20" s="333" t="s">
        <v>398</v>
      </c>
      <c r="B20" s="340" t="s">
        <v>576</v>
      </c>
      <c r="C20" s="341" t="s">
        <v>311</v>
      </c>
      <c r="D20" s="339">
        <v>2107121</v>
      </c>
      <c r="E20" s="342">
        <v>1755934</v>
      </c>
    </row>
    <row r="21" spans="1:6" s="329" customFormat="1" ht="25.5" x14ac:dyDescent="0.2">
      <c r="A21" s="333" t="s">
        <v>577</v>
      </c>
      <c r="B21" s="340" t="s">
        <v>578</v>
      </c>
      <c r="C21" s="313" t="s">
        <v>311</v>
      </c>
      <c r="D21" s="327">
        <v>50966</v>
      </c>
      <c r="E21" s="328">
        <v>49265</v>
      </c>
    </row>
    <row r="22" spans="1:6" s="329" customFormat="1" ht="25.5" x14ac:dyDescent="0.2">
      <c r="A22" s="333" t="s">
        <v>577</v>
      </c>
      <c r="B22" s="340" t="s">
        <v>579</v>
      </c>
      <c r="C22" s="313" t="s">
        <v>311</v>
      </c>
      <c r="D22" s="327">
        <v>167158</v>
      </c>
      <c r="E22" s="328">
        <v>159198</v>
      </c>
    </row>
    <row r="23" spans="1:6" s="329" customFormat="1" ht="25.5" x14ac:dyDescent="0.2">
      <c r="A23" s="333" t="s">
        <v>577</v>
      </c>
      <c r="B23" s="340" t="s">
        <v>580</v>
      </c>
      <c r="C23" s="313" t="s">
        <v>311</v>
      </c>
      <c r="D23" s="327">
        <v>500329</v>
      </c>
      <c r="E23" s="328">
        <v>267462</v>
      </c>
    </row>
    <row r="24" spans="1:6" s="329" customFormat="1" ht="25.5" x14ac:dyDescent="0.2">
      <c r="A24" s="333" t="s">
        <v>577</v>
      </c>
      <c r="B24" s="340" t="s">
        <v>581</v>
      </c>
      <c r="C24" s="313" t="s">
        <v>311</v>
      </c>
      <c r="D24" s="327">
        <v>368315</v>
      </c>
      <c r="E24" s="328">
        <v>350776</v>
      </c>
    </row>
    <row r="25" spans="1:6" s="329" customFormat="1" ht="25.5" x14ac:dyDescent="0.2">
      <c r="A25" s="333" t="s">
        <v>577</v>
      </c>
      <c r="B25" s="340" t="s">
        <v>582</v>
      </c>
      <c r="C25" s="313" t="s">
        <v>311</v>
      </c>
      <c r="D25" s="327">
        <v>53812</v>
      </c>
      <c r="E25" s="328">
        <v>123830</v>
      </c>
    </row>
    <row r="26" spans="1:6" s="329" customFormat="1" ht="25.5" x14ac:dyDescent="0.2">
      <c r="A26" s="333" t="s">
        <v>577</v>
      </c>
      <c r="B26" s="340" t="s">
        <v>583</v>
      </c>
      <c r="C26" s="313" t="s">
        <v>311</v>
      </c>
      <c r="D26" s="327">
        <v>253872</v>
      </c>
      <c r="E26" s="328">
        <v>241783</v>
      </c>
    </row>
    <row r="27" spans="1:6" s="329" customFormat="1" ht="25.5" x14ac:dyDescent="0.2">
      <c r="A27" s="343" t="s">
        <v>577</v>
      </c>
      <c r="B27" s="344" t="s">
        <v>584</v>
      </c>
      <c r="C27" s="267">
        <v>45382</v>
      </c>
      <c r="D27" s="345">
        <v>827761</v>
      </c>
      <c r="E27" s="270">
        <v>724197</v>
      </c>
    </row>
    <row r="28" spans="1:6" s="329" customFormat="1" x14ac:dyDescent="0.2">
      <c r="A28" s="346" t="s">
        <v>585</v>
      </c>
      <c r="B28" s="347" t="s">
        <v>586</v>
      </c>
      <c r="C28" s="331" t="s">
        <v>311</v>
      </c>
      <c r="D28" s="339">
        <v>466081</v>
      </c>
      <c r="E28" s="348">
        <v>466081</v>
      </c>
    </row>
    <row r="29" spans="1:6" ht="25.5" x14ac:dyDescent="0.2">
      <c r="A29" s="346" t="s">
        <v>587</v>
      </c>
      <c r="B29" s="332" t="s">
        <v>588</v>
      </c>
      <c r="C29" s="337" t="s">
        <v>311</v>
      </c>
      <c r="D29" s="339">
        <v>918495</v>
      </c>
      <c r="E29" s="349">
        <v>874757</v>
      </c>
    </row>
    <row r="30" spans="1:6" ht="25.5" x14ac:dyDescent="0.2">
      <c r="A30" s="346" t="s">
        <v>587</v>
      </c>
      <c r="B30" s="332" t="s">
        <v>589</v>
      </c>
      <c r="C30" s="337" t="s">
        <v>311</v>
      </c>
      <c r="D30" s="339">
        <v>495135</v>
      </c>
      <c r="E30" s="349">
        <v>471557</v>
      </c>
    </row>
    <row r="31" spans="1:6" ht="25.5" x14ac:dyDescent="0.2">
      <c r="A31" s="346" t="s">
        <v>587</v>
      </c>
      <c r="B31" s="332" t="s">
        <v>590</v>
      </c>
      <c r="C31" s="337" t="s">
        <v>311</v>
      </c>
      <c r="D31" s="339">
        <v>296090</v>
      </c>
      <c r="E31" s="349">
        <v>281990</v>
      </c>
    </row>
    <row r="32" spans="1:6" x14ac:dyDescent="0.2">
      <c r="A32" s="324" t="s">
        <v>591</v>
      </c>
      <c r="B32" s="325" t="s">
        <v>592</v>
      </c>
      <c r="C32" s="326" t="s">
        <v>311</v>
      </c>
      <c r="D32" s="350">
        <v>148599</v>
      </c>
      <c r="E32" s="328">
        <v>123063</v>
      </c>
      <c r="F32" s="43"/>
    </row>
    <row r="33" spans="1:10" ht="25.5" x14ac:dyDescent="0.2">
      <c r="A33" s="324" t="s">
        <v>593</v>
      </c>
      <c r="B33" s="325" t="s">
        <v>594</v>
      </c>
      <c r="C33" s="326" t="s">
        <v>311</v>
      </c>
      <c r="D33" s="327">
        <v>259080</v>
      </c>
      <c r="E33" s="328">
        <v>243840</v>
      </c>
      <c r="H33" s="43"/>
      <c r="J33" s="351"/>
    </row>
    <row r="34" spans="1:10" s="329" customFormat="1" ht="25.5" x14ac:dyDescent="0.2">
      <c r="A34" s="324" t="s">
        <v>595</v>
      </c>
      <c r="B34" s="325" t="s">
        <v>596</v>
      </c>
      <c r="C34" s="326" t="s">
        <v>311</v>
      </c>
      <c r="D34" s="339">
        <v>68116</v>
      </c>
      <c r="E34" s="328">
        <v>44428</v>
      </c>
    </row>
    <row r="35" spans="1:10" s="329" customFormat="1" x14ac:dyDescent="0.2">
      <c r="A35" s="324" t="s">
        <v>597</v>
      </c>
      <c r="B35" s="325" t="s">
        <v>598</v>
      </c>
      <c r="C35" s="326" t="s">
        <v>311</v>
      </c>
      <c r="D35" s="327">
        <v>304800</v>
      </c>
      <c r="E35" s="328">
        <v>279400</v>
      </c>
    </row>
    <row r="36" spans="1:10" s="329" customFormat="1" x14ac:dyDescent="0.2">
      <c r="A36" s="324" t="s">
        <v>599</v>
      </c>
      <c r="B36" s="325" t="s">
        <v>600</v>
      </c>
      <c r="C36" s="326" t="s">
        <v>311</v>
      </c>
      <c r="D36" s="327">
        <v>144000</v>
      </c>
      <c r="E36" s="328">
        <v>13200</v>
      </c>
    </row>
    <row r="37" spans="1:10" s="329" customFormat="1" x14ac:dyDescent="0.2">
      <c r="A37" s="324" t="s">
        <v>601</v>
      </c>
      <c r="B37" s="325" t="s">
        <v>602</v>
      </c>
      <c r="C37" s="262" t="s">
        <v>311</v>
      </c>
      <c r="D37" s="327">
        <v>178704</v>
      </c>
      <c r="E37" s="327">
        <v>178704</v>
      </c>
    </row>
    <row r="38" spans="1:10" s="352" customFormat="1" ht="25.5" x14ac:dyDescent="0.2">
      <c r="A38" s="324" t="s">
        <v>603</v>
      </c>
      <c r="B38" s="325" t="s">
        <v>604</v>
      </c>
      <c r="C38" s="262" t="s">
        <v>311</v>
      </c>
      <c r="D38" s="327">
        <v>91440</v>
      </c>
      <c r="E38" s="328">
        <v>91440</v>
      </c>
    </row>
    <row r="39" spans="1:10" s="329" customFormat="1" x14ac:dyDescent="0.2">
      <c r="A39" s="324" t="s">
        <v>605</v>
      </c>
      <c r="B39" s="325" t="s">
        <v>606</v>
      </c>
      <c r="C39" s="262" t="s">
        <v>311</v>
      </c>
      <c r="D39" s="339">
        <v>51120</v>
      </c>
      <c r="E39" s="328">
        <v>38880</v>
      </c>
    </row>
    <row r="40" spans="1:10" s="329" customFormat="1" x14ac:dyDescent="0.2">
      <c r="A40" s="324" t="s">
        <v>605</v>
      </c>
      <c r="B40" s="325" t="s">
        <v>607</v>
      </c>
      <c r="C40" s="262" t="s">
        <v>311</v>
      </c>
      <c r="D40" s="339">
        <v>12015365</v>
      </c>
      <c r="E40" s="328">
        <v>10012804</v>
      </c>
    </row>
    <row r="41" spans="1:10" s="329" customFormat="1" x14ac:dyDescent="0.2">
      <c r="A41" s="324" t="s">
        <v>456</v>
      </c>
      <c r="B41" s="325" t="s">
        <v>608</v>
      </c>
      <c r="C41" s="262" t="s">
        <v>311</v>
      </c>
      <c r="D41" s="339">
        <v>20903</v>
      </c>
      <c r="E41" s="328">
        <v>19908</v>
      </c>
    </row>
    <row r="42" spans="1:10" s="329" customFormat="1" x14ac:dyDescent="0.2">
      <c r="A42" s="324" t="s">
        <v>456</v>
      </c>
      <c r="B42" s="325" t="s">
        <v>609</v>
      </c>
      <c r="C42" s="262" t="s">
        <v>311</v>
      </c>
      <c r="D42" s="339">
        <v>506097</v>
      </c>
      <c r="E42" s="328">
        <v>482009</v>
      </c>
    </row>
    <row r="43" spans="1:10" s="329" customFormat="1" x14ac:dyDescent="0.2">
      <c r="A43" s="324" t="s">
        <v>456</v>
      </c>
      <c r="B43" s="325" t="s">
        <v>610</v>
      </c>
      <c r="C43" s="262" t="s">
        <v>311</v>
      </c>
      <c r="D43" s="327">
        <v>169316</v>
      </c>
      <c r="E43" s="328">
        <v>161253</v>
      </c>
    </row>
    <row r="44" spans="1:10" s="329" customFormat="1" ht="25.5" x14ac:dyDescent="0.2">
      <c r="A44" s="324" t="s">
        <v>611</v>
      </c>
      <c r="B44" s="325" t="s">
        <v>612</v>
      </c>
      <c r="C44" s="262" t="s">
        <v>311</v>
      </c>
      <c r="D44" s="339">
        <v>91746</v>
      </c>
      <c r="E44" s="328">
        <v>87377</v>
      </c>
    </row>
    <row r="45" spans="1:10" s="329" customFormat="1" ht="25.5" x14ac:dyDescent="0.2">
      <c r="A45" s="324" t="s">
        <v>613</v>
      </c>
      <c r="B45" s="325" t="s">
        <v>614</v>
      </c>
      <c r="C45" s="313" t="s">
        <v>311</v>
      </c>
      <c r="D45" s="327">
        <v>464736</v>
      </c>
      <c r="E45" s="328">
        <v>464736</v>
      </c>
    </row>
    <row r="46" spans="1:10" s="329" customFormat="1" x14ac:dyDescent="0.2">
      <c r="A46" s="324" t="s">
        <v>615</v>
      </c>
      <c r="B46" s="325" t="s">
        <v>616</v>
      </c>
      <c r="C46" s="313" t="s">
        <v>617</v>
      </c>
      <c r="D46" s="327">
        <v>987490</v>
      </c>
      <c r="E46" s="328">
        <v>987490</v>
      </c>
    </row>
    <row r="47" spans="1:10" s="329" customFormat="1" ht="25.5" x14ac:dyDescent="0.2">
      <c r="A47" s="324" t="s">
        <v>618</v>
      </c>
      <c r="B47" s="353" t="s">
        <v>619</v>
      </c>
      <c r="C47" s="313" t="s">
        <v>620</v>
      </c>
      <c r="D47" s="354">
        <v>133305</v>
      </c>
      <c r="E47" s="328">
        <v>121186</v>
      </c>
    </row>
    <row r="48" spans="1:10" s="329" customFormat="1" x14ac:dyDescent="0.2">
      <c r="A48" s="324" t="s">
        <v>618</v>
      </c>
      <c r="B48" s="353" t="s">
        <v>621</v>
      </c>
      <c r="C48" s="313" t="s">
        <v>617</v>
      </c>
      <c r="D48" s="355">
        <v>457349</v>
      </c>
      <c r="E48" s="355">
        <v>373346</v>
      </c>
    </row>
    <row r="49" spans="1:5" s="329" customFormat="1" x14ac:dyDescent="0.2">
      <c r="A49" s="324" t="s">
        <v>622</v>
      </c>
      <c r="B49" s="353" t="s">
        <v>623</v>
      </c>
      <c r="C49" s="326" t="s">
        <v>311</v>
      </c>
      <c r="D49" s="339">
        <v>170704</v>
      </c>
      <c r="E49" s="328">
        <v>155185</v>
      </c>
    </row>
    <row r="50" spans="1:5" s="329" customFormat="1" x14ac:dyDescent="0.2">
      <c r="A50" s="324" t="s">
        <v>624</v>
      </c>
      <c r="B50" s="353" t="s">
        <v>625</v>
      </c>
      <c r="C50" s="262" t="s">
        <v>311</v>
      </c>
      <c r="D50" s="339">
        <v>271576</v>
      </c>
      <c r="E50" s="328">
        <v>258644</v>
      </c>
    </row>
    <row r="51" spans="1:5" s="329" customFormat="1" x14ac:dyDescent="0.2">
      <c r="A51" s="324" t="s">
        <v>626</v>
      </c>
      <c r="B51" s="353" t="s">
        <v>627</v>
      </c>
      <c r="C51" s="262" t="s">
        <v>311</v>
      </c>
      <c r="D51" s="339">
        <v>5092008</v>
      </c>
      <c r="E51" s="328">
        <v>7241258</v>
      </c>
    </row>
    <row r="52" spans="1:5" s="329" customFormat="1" x14ac:dyDescent="0.2">
      <c r="A52" s="324" t="s">
        <v>628</v>
      </c>
      <c r="B52" s="353" t="s">
        <v>629</v>
      </c>
      <c r="C52" s="262" t="s">
        <v>311</v>
      </c>
      <c r="D52" s="339">
        <v>1218290</v>
      </c>
      <c r="E52" s="328">
        <v>807624</v>
      </c>
    </row>
    <row r="53" spans="1:5" s="329" customFormat="1" ht="25.5" x14ac:dyDescent="0.2">
      <c r="A53" s="324" t="s">
        <v>630</v>
      </c>
      <c r="B53" s="353" t="s">
        <v>631</v>
      </c>
      <c r="C53" s="262" t="s">
        <v>311</v>
      </c>
      <c r="D53" s="339">
        <v>2988600</v>
      </c>
      <c r="E53" s="328">
        <v>2837335</v>
      </c>
    </row>
    <row r="54" spans="1:5" s="329" customFormat="1" ht="25.5" x14ac:dyDescent="0.2">
      <c r="A54" s="324" t="s">
        <v>632</v>
      </c>
      <c r="B54" s="353" t="s">
        <v>633</v>
      </c>
      <c r="C54" s="262" t="s">
        <v>311</v>
      </c>
      <c r="D54" s="339">
        <v>2673939</v>
      </c>
      <c r="E54" s="328">
        <v>2377097</v>
      </c>
    </row>
    <row r="55" spans="1:5" s="329" customFormat="1" ht="25.5" x14ac:dyDescent="0.2">
      <c r="A55" s="324" t="s">
        <v>634</v>
      </c>
      <c r="B55" s="353" t="s">
        <v>635</v>
      </c>
      <c r="C55" s="262" t="s">
        <v>311</v>
      </c>
      <c r="D55" s="327">
        <v>120000</v>
      </c>
      <c r="E55" s="328">
        <v>120000</v>
      </c>
    </row>
    <row r="56" spans="1:5" s="329" customFormat="1" x14ac:dyDescent="0.2">
      <c r="A56" s="324" t="s">
        <v>636</v>
      </c>
      <c r="B56" s="353" t="s">
        <v>637</v>
      </c>
      <c r="C56" s="262" t="s">
        <v>617</v>
      </c>
      <c r="D56" s="327">
        <v>105600</v>
      </c>
      <c r="E56" s="328">
        <v>105600</v>
      </c>
    </row>
    <row r="57" spans="1:5" s="329" customFormat="1" x14ac:dyDescent="0.2">
      <c r="A57" s="324" t="s">
        <v>638</v>
      </c>
      <c r="B57" s="353" t="s">
        <v>639</v>
      </c>
      <c r="C57" s="262" t="s">
        <v>311</v>
      </c>
      <c r="D57" s="327">
        <v>217577</v>
      </c>
      <c r="E57" s="328">
        <v>199612</v>
      </c>
    </row>
    <row r="58" spans="1:5" s="329" customFormat="1" x14ac:dyDescent="0.2">
      <c r="A58" s="324" t="s">
        <v>640</v>
      </c>
      <c r="B58" s="353" t="s">
        <v>641</v>
      </c>
      <c r="C58" s="262" t="s">
        <v>311</v>
      </c>
      <c r="D58" s="339">
        <v>51005</v>
      </c>
      <c r="E58" s="328">
        <v>42504</v>
      </c>
    </row>
    <row r="59" spans="1:5" s="329" customFormat="1" x14ac:dyDescent="0.2">
      <c r="A59" s="324" t="s">
        <v>640</v>
      </c>
      <c r="B59" s="353" t="s">
        <v>642</v>
      </c>
      <c r="C59" s="262" t="s">
        <v>311</v>
      </c>
      <c r="D59" s="339">
        <v>92891</v>
      </c>
      <c r="E59" s="328">
        <v>77409</v>
      </c>
    </row>
    <row r="60" spans="1:5" s="329" customFormat="1" ht="25.5" x14ac:dyDescent="0.2">
      <c r="A60" s="324" t="s">
        <v>643</v>
      </c>
      <c r="B60" s="325" t="s">
        <v>644</v>
      </c>
      <c r="C60" s="262" t="s">
        <v>311</v>
      </c>
      <c r="D60" s="328">
        <v>1485000</v>
      </c>
      <c r="E60" s="328">
        <v>1155000</v>
      </c>
    </row>
    <row r="61" spans="1:5" s="329" customFormat="1" ht="25.5" x14ac:dyDescent="0.2">
      <c r="A61" s="324" t="s">
        <v>645</v>
      </c>
      <c r="B61" s="325" t="s">
        <v>646</v>
      </c>
      <c r="C61" s="326" t="s">
        <v>647</v>
      </c>
      <c r="D61" s="327">
        <v>36000</v>
      </c>
      <c r="E61" s="328">
        <v>85500</v>
      </c>
    </row>
    <row r="62" spans="1:5" s="329" customFormat="1" x14ac:dyDescent="0.2">
      <c r="A62" s="324" t="s">
        <v>648</v>
      </c>
      <c r="B62" s="325" t="s">
        <v>649</v>
      </c>
      <c r="C62" s="356" t="s">
        <v>617</v>
      </c>
      <c r="D62" s="339">
        <v>1502846</v>
      </c>
      <c r="E62" s="328">
        <v>1378758</v>
      </c>
    </row>
    <row r="63" spans="1:5" s="329" customFormat="1" x14ac:dyDescent="0.2">
      <c r="A63" s="324" t="s">
        <v>650</v>
      </c>
      <c r="B63" s="325" t="s">
        <v>651</v>
      </c>
      <c r="C63" s="357" t="s">
        <v>311</v>
      </c>
      <c r="D63" s="339">
        <v>6485</v>
      </c>
      <c r="E63" s="328">
        <v>5895</v>
      </c>
    </row>
    <row r="64" spans="1:5" s="329" customFormat="1" ht="25.5" x14ac:dyDescent="0.2">
      <c r="A64" s="324" t="s">
        <v>650</v>
      </c>
      <c r="B64" s="358" t="s">
        <v>652</v>
      </c>
      <c r="C64" s="359">
        <v>45892</v>
      </c>
      <c r="D64" s="360">
        <v>622935</v>
      </c>
      <c r="E64" s="361">
        <v>207740</v>
      </c>
    </row>
    <row r="65" spans="1:5" ht="13.5" thickBot="1" x14ac:dyDescent="0.25">
      <c r="A65" s="314"/>
      <c r="B65" s="314"/>
      <c r="C65" s="362" t="s">
        <v>22</v>
      </c>
      <c r="D65" s="363">
        <f>SUM(D9:D64)</f>
        <v>49086841</v>
      </c>
      <c r="E65" s="363">
        <f>SUM(E9:E64)</f>
        <v>48129661</v>
      </c>
    </row>
    <row r="66" spans="1:5" x14ac:dyDescent="0.2">
      <c r="C66" s="364"/>
    </row>
    <row r="67" spans="1:5" x14ac:dyDescent="0.2">
      <c r="C67" s="364"/>
    </row>
    <row r="68" spans="1:5" x14ac:dyDescent="0.2">
      <c r="C68" s="364"/>
    </row>
    <row r="69" spans="1:5" x14ac:dyDescent="0.2">
      <c r="C69" s="364"/>
    </row>
    <row r="70" spans="1:5" x14ac:dyDescent="0.2">
      <c r="C70" s="234"/>
    </row>
    <row r="71" spans="1:5" x14ac:dyDescent="0.2">
      <c r="C71" s="234"/>
    </row>
    <row r="72" spans="1:5" x14ac:dyDescent="0.2">
      <c r="C72" s="234"/>
    </row>
    <row r="73" spans="1:5" x14ac:dyDescent="0.2">
      <c r="C73" s="234"/>
    </row>
    <row r="74" spans="1:5" x14ac:dyDescent="0.2">
      <c r="C74" s="232"/>
    </row>
    <row r="75" spans="1:5" x14ac:dyDescent="0.2">
      <c r="C75" s="232"/>
    </row>
    <row r="76" spans="1:5" x14ac:dyDescent="0.2">
      <c r="C76" s="232"/>
    </row>
    <row r="77" spans="1:5" x14ac:dyDescent="0.2">
      <c r="C77" s="232"/>
    </row>
    <row r="78" spans="1:5" x14ac:dyDescent="0.2">
      <c r="C78" s="232"/>
    </row>
    <row r="79" spans="1:5" x14ac:dyDescent="0.2">
      <c r="C79" s="232"/>
    </row>
    <row r="80" spans="1:5" x14ac:dyDescent="0.2">
      <c r="C80" s="232"/>
    </row>
    <row r="81" spans="3:3" x14ac:dyDescent="0.2">
      <c r="C81" s="232"/>
    </row>
    <row r="82" spans="3:3" x14ac:dyDescent="0.2">
      <c r="C82" s="232"/>
    </row>
    <row r="83" spans="3:3" x14ac:dyDescent="0.2">
      <c r="C83" s="232"/>
    </row>
    <row r="84" spans="3:3" x14ac:dyDescent="0.2">
      <c r="C84" s="232"/>
    </row>
    <row r="85" spans="3:3" x14ac:dyDescent="0.2">
      <c r="C85" s="232"/>
    </row>
    <row r="86" spans="3:3" x14ac:dyDescent="0.2">
      <c r="C86" s="232"/>
    </row>
    <row r="87" spans="3:3" x14ac:dyDescent="0.2">
      <c r="C87" s="232"/>
    </row>
    <row r="88" spans="3:3" x14ac:dyDescent="0.2">
      <c r="C88" s="232"/>
    </row>
    <row r="89" spans="3:3" x14ac:dyDescent="0.2">
      <c r="C89" s="232"/>
    </row>
    <row r="90" spans="3:3" x14ac:dyDescent="0.2">
      <c r="C90" s="232"/>
    </row>
    <row r="91" spans="3:3" x14ac:dyDescent="0.2">
      <c r="C91" s="232"/>
    </row>
    <row r="92" spans="3:3" x14ac:dyDescent="0.2">
      <c r="C92" s="232"/>
    </row>
    <row r="93" spans="3:3" x14ac:dyDescent="0.2">
      <c r="C93" s="232"/>
    </row>
    <row r="94" spans="3:3" x14ac:dyDescent="0.2">
      <c r="C94" s="235"/>
    </row>
    <row r="95" spans="3:3" x14ac:dyDescent="0.2">
      <c r="C95" s="235"/>
    </row>
    <row r="96" spans="3:3" x14ac:dyDescent="0.2">
      <c r="C96" s="235"/>
    </row>
    <row r="97" spans="3:3" x14ac:dyDescent="0.2">
      <c r="C97" s="235"/>
    </row>
    <row r="98" spans="3:3" x14ac:dyDescent="0.2">
      <c r="C98" s="235"/>
    </row>
    <row r="99" spans="3:3" x14ac:dyDescent="0.2">
      <c r="C99" s="235"/>
    </row>
    <row r="100" spans="3:3" x14ac:dyDescent="0.2">
      <c r="C100" s="235"/>
    </row>
    <row r="101" spans="3:3" x14ac:dyDescent="0.2">
      <c r="C101" s="235"/>
    </row>
    <row r="102" spans="3:3" x14ac:dyDescent="0.2">
      <c r="C102" s="235"/>
    </row>
    <row r="103" spans="3:3" x14ac:dyDescent="0.2">
      <c r="C103" s="235"/>
    </row>
    <row r="104" spans="3:3" x14ac:dyDescent="0.2">
      <c r="C104" s="235"/>
    </row>
    <row r="105" spans="3:3" x14ac:dyDescent="0.2">
      <c r="C105" s="235"/>
    </row>
    <row r="106" spans="3:3" x14ac:dyDescent="0.2">
      <c r="C106" s="235"/>
    </row>
    <row r="107" spans="3:3" x14ac:dyDescent="0.2">
      <c r="C107" s="235"/>
    </row>
    <row r="108" spans="3:3" x14ac:dyDescent="0.2">
      <c r="C108" s="235"/>
    </row>
    <row r="109" spans="3:3" x14ac:dyDescent="0.2">
      <c r="C109" s="235"/>
    </row>
    <row r="110" spans="3:3" x14ac:dyDescent="0.2">
      <c r="C110" s="235"/>
    </row>
    <row r="111" spans="3:3" x14ac:dyDescent="0.2">
      <c r="C111" s="235"/>
    </row>
    <row r="112" spans="3:3" x14ac:dyDescent="0.2">
      <c r="C112" s="235"/>
    </row>
    <row r="113" spans="3:3" x14ac:dyDescent="0.2">
      <c r="C113" s="235"/>
    </row>
    <row r="114" spans="3:3" x14ac:dyDescent="0.2">
      <c r="C114" s="235"/>
    </row>
    <row r="115" spans="3:3" x14ac:dyDescent="0.2">
      <c r="C115" s="235"/>
    </row>
    <row r="116" spans="3:3" x14ac:dyDescent="0.2">
      <c r="C116" s="235"/>
    </row>
    <row r="117" spans="3:3" x14ac:dyDescent="0.2">
      <c r="C117" s="235"/>
    </row>
    <row r="118" spans="3:3" x14ac:dyDescent="0.2">
      <c r="C118" s="235"/>
    </row>
    <row r="119" spans="3:3" x14ac:dyDescent="0.2">
      <c r="C119" s="235"/>
    </row>
    <row r="120" spans="3:3" x14ac:dyDescent="0.2">
      <c r="C120" s="235"/>
    </row>
    <row r="121" spans="3:3" x14ac:dyDescent="0.2">
      <c r="C121" s="235"/>
    </row>
    <row r="122" spans="3:3" x14ac:dyDescent="0.2">
      <c r="C122" s="235"/>
    </row>
    <row r="123" spans="3:3" x14ac:dyDescent="0.2">
      <c r="C123" s="235"/>
    </row>
    <row r="124" spans="3:3" x14ac:dyDescent="0.2">
      <c r="C124" s="235"/>
    </row>
    <row r="125" spans="3:3" x14ac:dyDescent="0.2">
      <c r="C125" s="235"/>
    </row>
    <row r="126" spans="3:3" ht="13.5" x14ac:dyDescent="0.25">
      <c r="C126" s="365"/>
    </row>
    <row r="127" spans="3:3" x14ac:dyDescent="0.2">
      <c r="C127" s="235"/>
    </row>
    <row r="128" spans="3:3" x14ac:dyDescent="0.2">
      <c r="C128" s="235"/>
    </row>
    <row r="129" spans="3:4" x14ac:dyDescent="0.2">
      <c r="C129" s="235"/>
    </row>
    <row r="130" spans="3:4" x14ac:dyDescent="0.2">
      <c r="C130" s="235"/>
    </row>
    <row r="131" spans="3:4" x14ac:dyDescent="0.2">
      <c r="C131" s="235"/>
    </row>
    <row r="132" spans="3:4" x14ac:dyDescent="0.2">
      <c r="C132" s="235"/>
    </row>
    <row r="133" spans="3:4" ht="13.5" x14ac:dyDescent="0.25">
      <c r="D133" s="366"/>
    </row>
  </sheetData>
  <mergeCells count="7">
    <mergeCell ref="G7:G8"/>
    <mergeCell ref="A3:E3"/>
    <mergeCell ref="A7:A8"/>
    <mergeCell ref="B7:B8"/>
    <mergeCell ref="C7:C8"/>
    <mergeCell ref="D7:D8"/>
    <mergeCell ref="E7:E8"/>
  </mergeCells>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12</vt:i4>
      </vt:variant>
    </vt:vector>
  </HeadingPairs>
  <TitlesOfParts>
    <vt:vector size="27" baseType="lpstr">
      <vt:lpstr>1. melléklet</vt:lpstr>
      <vt:lpstr>2. mell. 1. pont</vt:lpstr>
      <vt:lpstr>2. mell. 2. pont</vt:lpstr>
      <vt:lpstr>3. melléklet</vt:lpstr>
      <vt:lpstr>4. melléklet</vt:lpstr>
      <vt:lpstr>5.mell. 1. pont hitelek</vt:lpstr>
      <vt:lpstr>5.mell. 2. pont kezességv.</vt:lpstr>
      <vt:lpstr>5.mell. 3. pont szerződések-Önk</vt:lpstr>
      <vt:lpstr>5.mell. 4. pont szerződések-KÖH</vt:lpstr>
      <vt:lpstr>6. melléklet</vt:lpstr>
      <vt:lpstr>7. melléklet</vt:lpstr>
      <vt:lpstr>8. melléklet</vt:lpstr>
      <vt:lpstr>9 melléklet</vt:lpstr>
      <vt:lpstr>10. melléklet</vt:lpstr>
      <vt:lpstr>11. melléklet</vt:lpstr>
      <vt:lpstr>'2. mell. 2. pont'!Nyomtatási_cím</vt:lpstr>
      <vt:lpstr>'5.mell. 3. pont szerződések-Önk'!Nyomtatási_cím</vt:lpstr>
      <vt:lpstr>'1. melléklet'!Nyomtatási_terület</vt:lpstr>
      <vt:lpstr>'11. melléklet'!Nyomtatási_terület</vt:lpstr>
      <vt:lpstr>'2. mell. 1. pont'!Nyomtatási_terület</vt:lpstr>
      <vt:lpstr>'2. mell. 2. pont'!Nyomtatási_terület</vt:lpstr>
      <vt:lpstr>'4. melléklet'!Nyomtatási_terület</vt:lpstr>
      <vt:lpstr>'5.mell. 2. pont kezességv.'!Nyomtatási_terület</vt:lpstr>
      <vt:lpstr>'5.mell. 3. pont szerződések-Önk'!Nyomtatási_terület</vt:lpstr>
      <vt:lpstr>'5.mell. 4. pont szerződések-KÖH'!Nyomtatási_terület</vt:lpstr>
      <vt:lpstr>'6. melléklet'!Nyomtatási_terület</vt:lpstr>
      <vt:lpstr>'8. melléklet'!Nyomtatási_terület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FarkasA</cp:lastModifiedBy>
  <cp:lastPrinted>2023-02-15T15:23:37Z</cp:lastPrinted>
  <dcterms:created xsi:type="dcterms:W3CDTF">2009-01-15T09:14:34Z</dcterms:created>
  <dcterms:modified xsi:type="dcterms:W3CDTF">2023-10-06T08:14:01Z</dcterms:modified>
</cp:coreProperties>
</file>